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My Webs\Lincs AA\2026\"/>
    </mc:Choice>
  </mc:AlternateContent>
  <xr:revisionPtr revIDLastSave="0" documentId="8_{02A09BA2-01B3-4024-B0C0-6FEC9C7825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41" i="1" l="1"/>
  <c r="D552" i="1"/>
  <c r="C552" i="1"/>
  <c r="B552" i="1"/>
  <c r="A552" i="1"/>
  <c r="C551" i="1"/>
  <c r="B551" i="1"/>
  <c r="A551" i="1"/>
  <c r="D550" i="1"/>
  <c r="C550" i="1"/>
  <c r="B550" i="1"/>
  <c r="A550" i="1"/>
  <c r="D549" i="1"/>
  <c r="C549" i="1"/>
  <c r="B549" i="1"/>
  <c r="A549" i="1"/>
  <c r="D548" i="1"/>
  <c r="C548" i="1"/>
  <c r="B548" i="1"/>
  <c r="A548" i="1"/>
  <c r="D547" i="1"/>
  <c r="C547" i="1"/>
  <c r="B547" i="1"/>
  <c r="A547" i="1"/>
  <c r="D546" i="1"/>
  <c r="C546" i="1"/>
  <c r="B546" i="1"/>
  <c r="A546" i="1"/>
  <c r="D545" i="1"/>
  <c r="C545" i="1"/>
  <c r="B545" i="1"/>
  <c r="A545" i="1"/>
  <c r="D544" i="1"/>
  <c r="C544" i="1"/>
  <c r="B544" i="1"/>
  <c r="A544" i="1"/>
  <c r="D543" i="1"/>
  <c r="C543" i="1"/>
  <c r="B543" i="1"/>
  <c r="A543" i="1"/>
  <c r="A542" i="1"/>
  <c r="D541" i="1"/>
  <c r="C541" i="1"/>
  <c r="B541" i="1"/>
  <c r="A541" i="1"/>
  <c r="D540" i="1"/>
  <c r="C540" i="1"/>
  <c r="B540" i="1"/>
  <c r="A540" i="1"/>
  <c r="D539" i="1"/>
  <c r="C539" i="1"/>
  <c r="B539" i="1"/>
  <c r="A539" i="1"/>
  <c r="D538" i="1"/>
  <c r="C538" i="1"/>
  <c r="B538" i="1"/>
  <c r="A538" i="1"/>
  <c r="D537" i="1"/>
  <c r="C537" i="1"/>
  <c r="B537" i="1"/>
  <c r="A537" i="1"/>
  <c r="D536" i="1"/>
  <c r="C536" i="1"/>
  <c r="B536" i="1"/>
  <c r="A536" i="1"/>
  <c r="D535" i="1"/>
  <c r="C535" i="1"/>
  <c r="B535" i="1"/>
  <c r="A535" i="1"/>
  <c r="D534" i="1"/>
  <c r="C534" i="1"/>
  <c r="B534" i="1"/>
  <c r="A534" i="1"/>
  <c r="D533" i="1"/>
  <c r="C533" i="1"/>
  <c r="B533" i="1"/>
  <c r="A533" i="1"/>
  <c r="D532" i="1"/>
  <c r="C532" i="1"/>
  <c r="B532" i="1"/>
  <c r="A532" i="1"/>
  <c r="A531" i="1"/>
  <c r="C530" i="1"/>
  <c r="B530" i="1"/>
  <c r="A530" i="1"/>
  <c r="C529" i="1"/>
  <c r="B529" i="1"/>
  <c r="A529" i="1"/>
  <c r="D528" i="1"/>
  <c r="C528" i="1"/>
  <c r="B528" i="1"/>
  <c r="A528" i="1"/>
  <c r="D527" i="1"/>
  <c r="C527" i="1"/>
  <c r="B527" i="1"/>
  <c r="A527" i="1"/>
  <c r="D526" i="1"/>
  <c r="C526" i="1"/>
  <c r="B526" i="1"/>
  <c r="A526" i="1"/>
  <c r="D525" i="1"/>
  <c r="C525" i="1"/>
  <c r="B525" i="1"/>
  <c r="A525" i="1"/>
  <c r="D524" i="1"/>
  <c r="C524" i="1"/>
  <c r="B524" i="1"/>
  <c r="A524" i="1"/>
  <c r="D523" i="1"/>
  <c r="C523" i="1"/>
  <c r="B523" i="1"/>
  <c r="A523" i="1"/>
  <c r="D522" i="1"/>
  <c r="C522" i="1"/>
  <c r="B522" i="1"/>
  <c r="A522" i="1"/>
  <c r="D521" i="1"/>
  <c r="C521" i="1"/>
  <c r="B521" i="1"/>
  <c r="A521" i="1"/>
  <c r="A520" i="1"/>
  <c r="D519" i="1"/>
  <c r="C519" i="1"/>
  <c r="B519" i="1"/>
  <c r="A519" i="1"/>
  <c r="D518" i="1"/>
  <c r="C518" i="1"/>
  <c r="B518" i="1"/>
  <c r="A518" i="1"/>
  <c r="D517" i="1"/>
  <c r="C517" i="1"/>
  <c r="B517" i="1"/>
  <c r="A517" i="1"/>
  <c r="D516" i="1"/>
  <c r="C516" i="1"/>
  <c r="B516" i="1"/>
  <c r="A516" i="1"/>
  <c r="D515" i="1"/>
  <c r="C515" i="1"/>
  <c r="B515" i="1"/>
  <c r="A515" i="1"/>
  <c r="D514" i="1"/>
  <c r="C514" i="1"/>
  <c r="B514" i="1"/>
  <c r="A514" i="1"/>
  <c r="D513" i="1"/>
  <c r="C513" i="1"/>
  <c r="B513" i="1"/>
  <c r="A513" i="1"/>
  <c r="D512" i="1"/>
  <c r="C512" i="1"/>
  <c r="B512" i="1"/>
  <c r="A512" i="1"/>
  <c r="D511" i="1"/>
  <c r="C511" i="1"/>
  <c r="B511" i="1"/>
  <c r="A511" i="1"/>
  <c r="D510" i="1"/>
  <c r="C510" i="1"/>
  <c r="B510" i="1"/>
  <c r="A510" i="1"/>
  <c r="A509" i="1"/>
  <c r="D508" i="1"/>
  <c r="C508" i="1"/>
  <c r="B508" i="1"/>
  <c r="A508" i="1"/>
  <c r="D507" i="1"/>
  <c r="C507" i="1"/>
  <c r="B507" i="1"/>
  <c r="A507" i="1"/>
  <c r="D506" i="1"/>
  <c r="C506" i="1"/>
  <c r="B506" i="1"/>
  <c r="A506" i="1"/>
  <c r="D505" i="1"/>
  <c r="C505" i="1"/>
  <c r="B505" i="1"/>
  <c r="A505" i="1"/>
  <c r="D504" i="1"/>
  <c r="C504" i="1"/>
  <c r="B504" i="1"/>
  <c r="A504" i="1"/>
  <c r="D503" i="1"/>
  <c r="C503" i="1"/>
  <c r="B503" i="1"/>
  <c r="A503" i="1"/>
  <c r="D502" i="1"/>
  <c r="C502" i="1"/>
  <c r="B502" i="1"/>
  <c r="A502" i="1"/>
  <c r="D501" i="1"/>
  <c r="C501" i="1"/>
  <c r="B501" i="1"/>
  <c r="A501" i="1"/>
  <c r="A500" i="1"/>
  <c r="D499" i="1"/>
  <c r="C499" i="1"/>
  <c r="B499" i="1"/>
  <c r="A499" i="1"/>
  <c r="D498" i="1"/>
  <c r="C498" i="1"/>
  <c r="B498" i="1"/>
  <c r="A498" i="1"/>
  <c r="C497" i="1"/>
  <c r="B497" i="1"/>
  <c r="A497" i="1"/>
  <c r="D496" i="1"/>
  <c r="C496" i="1"/>
  <c r="B496" i="1"/>
  <c r="A496" i="1"/>
  <c r="D495" i="1"/>
  <c r="C495" i="1"/>
  <c r="B495" i="1"/>
  <c r="A495" i="1"/>
  <c r="D494" i="1"/>
  <c r="C494" i="1"/>
  <c r="B494" i="1"/>
  <c r="A494" i="1"/>
  <c r="D493" i="1"/>
  <c r="C493" i="1"/>
  <c r="B493" i="1"/>
  <c r="A493" i="1"/>
  <c r="D492" i="1"/>
  <c r="C492" i="1"/>
  <c r="B492" i="1"/>
  <c r="A492" i="1"/>
  <c r="D491" i="1"/>
  <c r="C491" i="1"/>
  <c r="B491" i="1"/>
  <c r="A491" i="1"/>
  <c r="D490" i="1"/>
  <c r="C490" i="1"/>
  <c r="B490" i="1"/>
  <c r="A490" i="1"/>
  <c r="A489" i="1"/>
  <c r="D488" i="1"/>
  <c r="C488" i="1"/>
  <c r="B488" i="1"/>
  <c r="A488" i="1"/>
  <c r="D487" i="1"/>
  <c r="C487" i="1"/>
  <c r="B487" i="1"/>
  <c r="A487" i="1"/>
  <c r="D486" i="1"/>
  <c r="C486" i="1"/>
  <c r="B486" i="1"/>
  <c r="A486" i="1"/>
  <c r="D485" i="1"/>
  <c r="C485" i="1"/>
  <c r="B485" i="1"/>
  <c r="A485" i="1"/>
  <c r="D484" i="1"/>
  <c r="C484" i="1"/>
  <c r="B484" i="1"/>
  <c r="A484" i="1"/>
  <c r="D483" i="1"/>
  <c r="C483" i="1"/>
  <c r="B483" i="1"/>
  <c r="A483" i="1"/>
  <c r="D482" i="1"/>
  <c r="C482" i="1"/>
  <c r="B482" i="1"/>
  <c r="A482" i="1"/>
  <c r="D481" i="1"/>
  <c r="C481" i="1"/>
  <c r="B481" i="1"/>
  <c r="A481" i="1"/>
  <c r="D480" i="1"/>
  <c r="C480" i="1"/>
  <c r="B480" i="1"/>
  <c r="A480" i="1"/>
  <c r="D479" i="1"/>
  <c r="C479" i="1"/>
  <c r="B479" i="1"/>
  <c r="A479" i="1"/>
  <c r="A478" i="1"/>
  <c r="D477" i="1"/>
  <c r="C477" i="1"/>
  <c r="B477" i="1"/>
  <c r="A477" i="1"/>
  <c r="D476" i="1"/>
  <c r="C476" i="1"/>
  <c r="B476" i="1"/>
  <c r="A476" i="1"/>
  <c r="D475" i="1"/>
  <c r="C475" i="1"/>
  <c r="B475" i="1"/>
  <c r="A475" i="1"/>
  <c r="D474" i="1"/>
  <c r="C474" i="1"/>
  <c r="B474" i="1"/>
  <c r="A474" i="1"/>
  <c r="D473" i="1"/>
  <c r="C473" i="1"/>
  <c r="B473" i="1"/>
  <c r="A473" i="1"/>
  <c r="D472" i="1"/>
  <c r="C472" i="1"/>
  <c r="B472" i="1"/>
  <c r="A472" i="1"/>
  <c r="D471" i="1"/>
  <c r="C471" i="1"/>
  <c r="B471" i="1"/>
  <c r="A471" i="1"/>
  <c r="D470" i="1"/>
  <c r="C470" i="1"/>
  <c r="B470" i="1"/>
  <c r="A470" i="1"/>
  <c r="D469" i="1"/>
  <c r="C469" i="1"/>
  <c r="B469" i="1"/>
  <c r="A469" i="1"/>
  <c r="D468" i="1"/>
  <c r="C468" i="1"/>
  <c r="B468" i="1"/>
  <c r="A468" i="1"/>
  <c r="A467" i="1"/>
  <c r="D466" i="1"/>
  <c r="C466" i="1"/>
  <c r="B466" i="1"/>
  <c r="A466" i="1"/>
  <c r="D465" i="1"/>
  <c r="C465" i="1"/>
  <c r="B465" i="1"/>
  <c r="A465" i="1"/>
  <c r="D464" i="1"/>
  <c r="C464" i="1"/>
  <c r="B464" i="1"/>
  <c r="A464" i="1"/>
  <c r="D463" i="1"/>
  <c r="C463" i="1"/>
  <c r="B463" i="1"/>
  <c r="A463" i="1"/>
  <c r="D462" i="1"/>
  <c r="C462" i="1"/>
  <c r="B462" i="1"/>
  <c r="A462" i="1"/>
  <c r="D461" i="1"/>
  <c r="C461" i="1"/>
  <c r="B461" i="1"/>
  <c r="A461" i="1"/>
  <c r="D460" i="1"/>
  <c r="C460" i="1"/>
  <c r="B460" i="1"/>
  <c r="A460" i="1"/>
  <c r="D459" i="1"/>
  <c r="C459" i="1"/>
  <c r="B459" i="1"/>
  <c r="A459" i="1"/>
  <c r="D458" i="1"/>
  <c r="C458" i="1"/>
  <c r="B458" i="1"/>
  <c r="A458" i="1"/>
  <c r="D457" i="1"/>
  <c r="C457" i="1"/>
  <c r="B457" i="1"/>
  <c r="A457" i="1"/>
  <c r="A456" i="1"/>
  <c r="D454" i="1"/>
  <c r="C454" i="1"/>
  <c r="B454" i="1"/>
  <c r="A454" i="1"/>
  <c r="D453" i="1"/>
  <c r="C453" i="1"/>
  <c r="B453" i="1"/>
  <c r="A453" i="1"/>
  <c r="D452" i="1"/>
  <c r="C452" i="1"/>
  <c r="B452" i="1"/>
  <c r="A452" i="1"/>
  <c r="D451" i="1"/>
  <c r="C451" i="1"/>
  <c r="B451" i="1"/>
  <c r="A451" i="1"/>
  <c r="D450" i="1"/>
  <c r="C450" i="1"/>
  <c r="B450" i="1"/>
  <c r="A450" i="1"/>
  <c r="D449" i="1"/>
  <c r="C449" i="1"/>
  <c r="B449" i="1"/>
  <c r="A449" i="1"/>
  <c r="D448" i="1"/>
  <c r="C448" i="1"/>
  <c r="B448" i="1"/>
  <c r="A448" i="1"/>
  <c r="D447" i="1"/>
  <c r="C447" i="1"/>
  <c r="B447" i="1"/>
  <c r="A447" i="1"/>
  <c r="D446" i="1"/>
  <c r="C446" i="1"/>
  <c r="B446" i="1"/>
  <c r="A446" i="1"/>
  <c r="A445" i="1"/>
  <c r="C444" i="1"/>
  <c r="B444" i="1"/>
  <c r="A444" i="1"/>
  <c r="D443" i="1"/>
  <c r="C443" i="1"/>
  <c r="B443" i="1"/>
  <c r="A443" i="1"/>
  <c r="D442" i="1"/>
  <c r="C442" i="1"/>
  <c r="B442" i="1"/>
  <c r="A442" i="1"/>
  <c r="D441" i="1"/>
  <c r="C441" i="1"/>
  <c r="B441" i="1"/>
  <c r="A441" i="1"/>
  <c r="D440" i="1"/>
  <c r="C440" i="1"/>
  <c r="B440" i="1"/>
  <c r="A440" i="1"/>
  <c r="D439" i="1"/>
  <c r="C439" i="1"/>
  <c r="B439" i="1"/>
  <c r="A439" i="1"/>
  <c r="D438" i="1"/>
  <c r="C438" i="1"/>
  <c r="B438" i="1"/>
  <c r="A438" i="1"/>
  <c r="D437" i="1"/>
  <c r="C437" i="1"/>
  <c r="B437" i="1"/>
  <c r="A437" i="1"/>
  <c r="D436" i="1"/>
  <c r="C436" i="1"/>
  <c r="B436" i="1"/>
  <c r="A436" i="1"/>
  <c r="D435" i="1"/>
  <c r="C435" i="1"/>
  <c r="B435" i="1"/>
  <c r="A435" i="1"/>
  <c r="A434" i="1"/>
  <c r="D433" i="1"/>
  <c r="C433" i="1"/>
  <c r="B433" i="1"/>
  <c r="A433" i="1"/>
  <c r="D432" i="1"/>
  <c r="C432" i="1"/>
  <c r="B432" i="1"/>
  <c r="A432" i="1"/>
  <c r="D431" i="1"/>
  <c r="C431" i="1"/>
  <c r="B431" i="1"/>
  <c r="A431" i="1"/>
  <c r="D430" i="1"/>
  <c r="C430" i="1"/>
  <c r="B430" i="1"/>
  <c r="A430" i="1"/>
  <c r="D429" i="1"/>
  <c r="C429" i="1"/>
  <c r="B429" i="1"/>
  <c r="A429" i="1"/>
  <c r="D428" i="1"/>
  <c r="C428" i="1"/>
  <c r="B428" i="1"/>
  <c r="A428" i="1"/>
  <c r="D427" i="1"/>
  <c r="C427" i="1"/>
  <c r="B427" i="1"/>
  <c r="A427" i="1"/>
  <c r="D426" i="1"/>
  <c r="C426" i="1"/>
  <c r="B426" i="1"/>
  <c r="A426" i="1"/>
  <c r="D425" i="1"/>
  <c r="C425" i="1"/>
  <c r="B425" i="1"/>
  <c r="A425" i="1"/>
  <c r="D424" i="1"/>
  <c r="C424" i="1"/>
  <c r="B424" i="1"/>
  <c r="A424" i="1"/>
  <c r="A423" i="1"/>
  <c r="D422" i="1"/>
  <c r="C422" i="1"/>
  <c r="B422" i="1"/>
  <c r="A422" i="1"/>
  <c r="D421" i="1"/>
  <c r="C421" i="1"/>
  <c r="B421" i="1"/>
  <c r="A421" i="1"/>
  <c r="D420" i="1"/>
  <c r="C420" i="1"/>
  <c r="B420" i="1"/>
  <c r="A420" i="1"/>
  <c r="D419" i="1"/>
  <c r="C419" i="1"/>
  <c r="B419" i="1"/>
  <c r="A419" i="1"/>
  <c r="D418" i="1"/>
  <c r="C418" i="1"/>
  <c r="B418" i="1"/>
  <c r="A418" i="1"/>
  <c r="D417" i="1"/>
  <c r="C417" i="1"/>
  <c r="B417" i="1"/>
  <c r="A417" i="1"/>
  <c r="D416" i="1"/>
  <c r="C416" i="1"/>
  <c r="B416" i="1"/>
  <c r="A416" i="1"/>
  <c r="D415" i="1"/>
  <c r="C415" i="1"/>
  <c r="B415" i="1"/>
  <c r="A415" i="1"/>
  <c r="D414" i="1"/>
  <c r="C414" i="1"/>
  <c r="B414" i="1"/>
  <c r="A414" i="1"/>
  <c r="A413" i="1"/>
  <c r="D412" i="1"/>
  <c r="C412" i="1"/>
  <c r="B412" i="1"/>
  <c r="A412" i="1"/>
  <c r="D411" i="1"/>
  <c r="C411" i="1"/>
  <c r="B411" i="1"/>
  <c r="A411" i="1"/>
  <c r="D410" i="1"/>
  <c r="C410" i="1"/>
  <c r="B410" i="1"/>
  <c r="A410" i="1"/>
  <c r="D409" i="1"/>
  <c r="C409" i="1"/>
  <c r="B409" i="1"/>
  <c r="A409" i="1"/>
  <c r="D408" i="1"/>
  <c r="C408" i="1"/>
  <c r="B408" i="1"/>
  <c r="A408" i="1"/>
  <c r="D407" i="1"/>
  <c r="C407" i="1"/>
  <c r="B407" i="1"/>
  <c r="A407" i="1"/>
  <c r="D406" i="1"/>
  <c r="C406" i="1"/>
  <c r="B406" i="1"/>
  <c r="A406" i="1"/>
  <c r="D405" i="1"/>
  <c r="C405" i="1"/>
  <c r="B405" i="1"/>
  <c r="A405" i="1"/>
  <c r="D404" i="1"/>
  <c r="C404" i="1"/>
  <c r="B404" i="1"/>
  <c r="A404" i="1"/>
  <c r="A403" i="1"/>
  <c r="D402" i="1"/>
  <c r="C402" i="1"/>
  <c r="B402" i="1"/>
  <c r="A402" i="1"/>
  <c r="D401" i="1"/>
  <c r="C401" i="1"/>
  <c r="B401" i="1"/>
  <c r="A401" i="1"/>
  <c r="D400" i="1"/>
  <c r="C400" i="1"/>
  <c r="B400" i="1"/>
  <c r="A400" i="1"/>
  <c r="D399" i="1"/>
  <c r="C399" i="1"/>
  <c r="B399" i="1"/>
  <c r="A399" i="1"/>
  <c r="D398" i="1"/>
  <c r="C398" i="1"/>
  <c r="B398" i="1"/>
  <c r="A398" i="1"/>
  <c r="D397" i="1"/>
  <c r="C397" i="1"/>
  <c r="B397" i="1"/>
  <c r="A397" i="1"/>
  <c r="D396" i="1"/>
  <c r="C396" i="1"/>
  <c r="B396" i="1"/>
  <c r="A396" i="1"/>
  <c r="D395" i="1"/>
  <c r="C395" i="1"/>
  <c r="B395" i="1"/>
  <c r="A395" i="1"/>
  <c r="D394" i="1"/>
  <c r="C394" i="1"/>
  <c r="B394" i="1"/>
  <c r="A394" i="1"/>
  <c r="D393" i="1"/>
  <c r="C393" i="1"/>
  <c r="B393" i="1"/>
  <c r="A393" i="1"/>
  <c r="A392" i="1"/>
  <c r="D391" i="1"/>
  <c r="C391" i="1"/>
  <c r="B391" i="1"/>
  <c r="A391" i="1"/>
  <c r="D390" i="1"/>
  <c r="C390" i="1"/>
  <c r="B390" i="1"/>
  <c r="A390" i="1"/>
  <c r="D389" i="1"/>
  <c r="C389" i="1"/>
  <c r="B389" i="1"/>
  <c r="A389" i="1"/>
  <c r="D388" i="1"/>
  <c r="C388" i="1"/>
  <c r="B388" i="1"/>
  <c r="A388" i="1"/>
  <c r="D387" i="1"/>
  <c r="C387" i="1"/>
  <c r="B387" i="1"/>
  <c r="A387" i="1"/>
  <c r="D386" i="1"/>
  <c r="C386" i="1"/>
  <c r="B386" i="1"/>
  <c r="A386" i="1"/>
  <c r="D385" i="1"/>
  <c r="C385" i="1"/>
  <c r="B385" i="1"/>
  <c r="A385" i="1"/>
  <c r="D384" i="1"/>
  <c r="C384" i="1"/>
  <c r="B384" i="1"/>
  <c r="A384" i="1"/>
  <c r="D383" i="1"/>
  <c r="C383" i="1"/>
  <c r="B383" i="1"/>
  <c r="A383" i="1"/>
  <c r="D382" i="1"/>
  <c r="C382" i="1"/>
  <c r="B382" i="1"/>
  <c r="A382" i="1"/>
  <c r="A381" i="1"/>
  <c r="D380" i="1"/>
  <c r="C380" i="1"/>
  <c r="B380" i="1"/>
  <c r="A380" i="1"/>
  <c r="D379" i="1"/>
  <c r="C379" i="1"/>
  <c r="B379" i="1"/>
  <c r="A379" i="1"/>
  <c r="D378" i="1"/>
  <c r="C378" i="1"/>
  <c r="B378" i="1"/>
  <c r="A378" i="1"/>
  <c r="D377" i="1"/>
  <c r="C377" i="1"/>
  <c r="B377" i="1"/>
  <c r="A377" i="1"/>
  <c r="D376" i="1"/>
  <c r="C376" i="1"/>
  <c r="B376" i="1"/>
  <c r="A376" i="1"/>
  <c r="D375" i="1"/>
  <c r="C375" i="1"/>
  <c r="B375" i="1"/>
  <c r="A375" i="1"/>
  <c r="D374" i="1"/>
  <c r="C374" i="1"/>
  <c r="B374" i="1"/>
  <c r="A374" i="1"/>
  <c r="D373" i="1"/>
  <c r="C373" i="1"/>
  <c r="B373" i="1"/>
  <c r="A373" i="1"/>
  <c r="D372" i="1"/>
  <c r="C372" i="1"/>
  <c r="B372" i="1"/>
  <c r="A372" i="1"/>
  <c r="D371" i="1"/>
  <c r="C371" i="1"/>
  <c r="B371" i="1"/>
  <c r="A371" i="1"/>
  <c r="A370" i="1"/>
  <c r="D369" i="1"/>
  <c r="C369" i="1"/>
  <c r="B369" i="1"/>
  <c r="A369" i="1"/>
  <c r="D368" i="1"/>
  <c r="C368" i="1"/>
  <c r="B368" i="1"/>
  <c r="A368" i="1"/>
  <c r="D367" i="1"/>
  <c r="C367" i="1"/>
  <c r="B367" i="1"/>
  <c r="A367" i="1"/>
  <c r="D366" i="1"/>
  <c r="C366" i="1"/>
  <c r="B366" i="1"/>
  <c r="A366" i="1"/>
  <c r="D365" i="1"/>
  <c r="C365" i="1"/>
  <c r="B365" i="1"/>
  <c r="A365" i="1"/>
  <c r="D364" i="1"/>
  <c r="C364" i="1"/>
  <c r="B364" i="1"/>
  <c r="A364" i="1"/>
  <c r="D363" i="1"/>
  <c r="C363" i="1"/>
  <c r="B363" i="1"/>
  <c r="A363" i="1"/>
  <c r="C362" i="1"/>
  <c r="B362" i="1"/>
  <c r="A362" i="1"/>
  <c r="D361" i="1"/>
  <c r="C361" i="1"/>
  <c r="B361" i="1"/>
  <c r="A361" i="1"/>
  <c r="D360" i="1"/>
  <c r="C360" i="1"/>
  <c r="B360" i="1"/>
  <c r="A360" i="1"/>
  <c r="A359" i="1"/>
  <c r="D358" i="1"/>
  <c r="C358" i="1"/>
  <c r="B358" i="1"/>
  <c r="A358" i="1"/>
  <c r="D357" i="1"/>
  <c r="C357" i="1"/>
  <c r="B357" i="1"/>
  <c r="A357" i="1"/>
  <c r="D356" i="1"/>
  <c r="C356" i="1"/>
  <c r="B356" i="1"/>
  <c r="A356" i="1"/>
  <c r="C355" i="1"/>
  <c r="B355" i="1"/>
  <c r="A355" i="1"/>
  <c r="D354" i="1"/>
  <c r="C354" i="1"/>
  <c r="B354" i="1"/>
  <c r="A354" i="1"/>
  <c r="D353" i="1"/>
  <c r="C353" i="1"/>
  <c r="B353" i="1"/>
  <c r="A353" i="1"/>
  <c r="D352" i="1"/>
  <c r="C352" i="1"/>
  <c r="B352" i="1"/>
  <c r="A352" i="1"/>
  <c r="D351" i="1"/>
  <c r="C351" i="1"/>
  <c r="B351" i="1"/>
  <c r="A351" i="1"/>
  <c r="C350" i="1"/>
  <c r="B350" i="1"/>
  <c r="A350" i="1"/>
  <c r="D349" i="1"/>
  <c r="C349" i="1"/>
  <c r="B349" i="1"/>
  <c r="A349" i="1"/>
  <c r="A348" i="1"/>
  <c r="D347" i="1"/>
  <c r="C347" i="1"/>
  <c r="B347" i="1"/>
  <c r="A347" i="1"/>
  <c r="D346" i="1"/>
  <c r="C346" i="1"/>
  <c r="B346" i="1"/>
  <c r="A346" i="1"/>
  <c r="D345" i="1"/>
  <c r="C345" i="1"/>
  <c r="B345" i="1"/>
  <c r="A345" i="1"/>
  <c r="D344" i="1"/>
  <c r="C344" i="1"/>
  <c r="B344" i="1"/>
  <c r="A344" i="1"/>
  <c r="D343" i="1"/>
  <c r="C343" i="1"/>
  <c r="B343" i="1"/>
  <c r="A343" i="1"/>
  <c r="C342" i="1"/>
  <c r="B342" i="1"/>
  <c r="A342" i="1"/>
  <c r="C341" i="1"/>
  <c r="B341" i="1"/>
  <c r="A341" i="1"/>
  <c r="D340" i="1"/>
  <c r="C340" i="1"/>
  <c r="B340" i="1"/>
  <c r="A340" i="1"/>
  <c r="C339" i="1"/>
  <c r="B339" i="1"/>
  <c r="A339" i="1"/>
  <c r="D338" i="1"/>
  <c r="C338" i="1"/>
  <c r="B338" i="1"/>
  <c r="A338" i="1"/>
  <c r="A337" i="1"/>
  <c r="D336" i="1"/>
  <c r="C336" i="1"/>
  <c r="B336" i="1"/>
  <c r="A336" i="1"/>
  <c r="D335" i="1"/>
  <c r="C335" i="1"/>
  <c r="B335" i="1"/>
  <c r="A335" i="1"/>
  <c r="D334" i="1"/>
  <c r="C334" i="1"/>
  <c r="B334" i="1"/>
  <c r="A334" i="1"/>
  <c r="D333" i="1"/>
  <c r="C333" i="1"/>
  <c r="B333" i="1"/>
  <c r="A333" i="1"/>
  <c r="D332" i="1"/>
  <c r="C332" i="1"/>
  <c r="B332" i="1"/>
  <c r="A332" i="1"/>
  <c r="A331" i="1"/>
  <c r="E330" i="1"/>
  <c r="D330" i="1"/>
  <c r="C330" i="1"/>
  <c r="B330" i="1"/>
  <c r="A330" i="1"/>
  <c r="E329" i="1"/>
  <c r="D329" i="1"/>
  <c r="C329" i="1"/>
  <c r="B329" i="1"/>
  <c r="A329" i="1"/>
  <c r="E328" i="1"/>
  <c r="D328" i="1"/>
  <c r="C328" i="1"/>
  <c r="B328" i="1"/>
  <c r="A328" i="1"/>
  <c r="E327" i="1"/>
  <c r="D327" i="1"/>
  <c r="C327" i="1"/>
  <c r="B327" i="1"/>
  <c r="A327" i="1"/>
  <c r="E326" i="1"/>
  <c r="D326" i="1"/>
  <c r="C326" i="1"/>
  <c r="B326" i="1"/>
  <c r="A326" i="1"/>
  <c r="A325" i="1"/>
  <c r="E324" i="1"/>
  <c r="D324" i="1"/>
  <c r="C324" i="1"/>
  <c r="B324" i="1"/>
  <c r="A324" i="1"/>
  <c r="E323" i="1"/>
  <c r="D323" i="1"/>
  <c r="C323" i="1"/>
  <c r="B323" i="1"/>
  <c r="A323" i="1"/>
  <c r="E322" i="1"/>
  <c r="D322" i="1"/>
  <c r="C322" i="1"/>
  <c r="B322" i="1"/>
  <c r="A322" i="1"/>
  <c r="E321" i="1"/>
  <c r="D321" i="1"/>
  <c r="C321" i="1"/>
  <c r="B321" i="1"/>
  <c r="A321" i="1"/>
  <c r="E320" i="1"/>
  <c r="D320" i="1"/>
  <c r="C320" i="1"/>
  <c r="B320" i="1"/>
  <c r="A320" i="1"/>
  <c r="A319" i="1"/>
  <c r="E318" i="1"/>
  <c r="D318" i="1"/>
  <c r="C318" i="1"/>
  <c r="B318" i="1"/>
  <c r="A318" i="1"/>
  <c r="E317" i="1"/>
  <c r="D317" i="1"/>
  <c r="C317" i="1"/>
  <c r="B317" i="1"/>
  <c r="A317" i="1"/>
  <c r="E316" i="1"/>
  <c r="D316" i="1"/>
  <c r="C316" i="1"/>
  <c r="B316" i="1"/>
  <c r="A316" i="1"/>
  <c r="E315" i="1"/>
  <c r="D315" i="1"/>
  <c r="C315" i="1"/>
  <c r="B315" i="1"/>
  <c r="A315" i="1"/>
  <c r="E314" i="1"/>
  <c r="D314" i="1"/>
  <c r="C314" i="1"/>
  <c r="B314" i="1"/>
  <c r="A314" i="1"/>
  <c r="A313" i="1"/>
  <c r="E312" i="1"/>
  <c r="D312" i="1"/>
  <c r="C312" i="1"/>
  <c r="B312" i="1"/>
  <c r="A312" i="1"/>
  <c r="E311" i="1"/>
  <c r="D311" i="1"/>
  <c r="C311" i="1"/>
  <c r="B311" i="1"/>
  <c r="A311" i="1"/>
  <c r="E310" i="1"/>
  <c r="D310" i="1"/>
  <c r="C310" i="1"/>
  <c r="B310" i="1"/>
  <c r="A310" i="1"/>
  <c r="E309" i="1"/>
  <c r="D309" i="1"/>
  <c r="C309" i="1"/>
  <c r="B309" i="1"/>
  <c r="A309" i="1"/>
  <c r="E308" i="1"/>
  <c r="D308" i="1"/>
  <c r="C308" i="1"/>
  <c r="B308" i="1"/>
  <c r="A308" i="1"/>
  <c r="A307" i="1"/>
  <c r="E306" i="1"/>
  <c r="D306" i="1"/>
  <c r="C306" i="1"/>
  <c r="B306" i="1"/>
  <c r="A306" i="1"/>
  <c r="E305" i="1"/>
  <c r="D305" i="1"/>
  <c r="C305" i="1"/>
  <c r="B305" i="1"/>
  <c r="A305" i="1"/>
  <c r="E304" i="1"/>
  <c r="D304" i="1"/>
  <c r="C304" i="1"/>
  <c r="B304" i="1"/>
  <c r="A304" i="1"/>
  <c r="E303" i="1"/>
  <c r="D303" i="1"/>
  <c r="C303" i="1"/>
  <c r="B303" i="1"/>
  <c r="A303" i="1"/>
  <c r="E302" i="1"/>
  <c r="D302" i="1"/>
  <c r="C302" i="1"/>
  <c r="B302" i="1"/>
  <c r="A302" i="1"/>
  <c r="A301" i="1"/>
  <c r="E300" i="1"/>
  <c r="D300" i="1"/>
  <c r="C300" i="1"/>
  <c r="B300" i="1"/>
  <c r="A300" i="1"/>
  <c r="E299" i="1"/>
  <c r="D299" i="1"/>
  <c r="C299" i="1"/>
  <c r="B299" i="1"/>
  <c r="A299" i="1"/>
  <c r="E298" i="1"/>
  <c r="D298" i="1"/>
  <c r="C298" i="1"/>
  <c r="B298" i="1"/>
  <c r="A298" i="1"/>
  <c r="E297" i="1"/>
  <c r="D297" i="1"/>
  <c r="C297" i="1"/>
  <c r="B297" i="1"/>
  <c r="A297" i="1"/>
  <c r="E296" i="1"/>
  <c r="D296" i="1"/>
  <c r="C296" i="1"/>
  <c r="B296" i="1"/>
  <c r="A296" i="1"/>
  <c r="A295" i="1"/>
  <c r="E294" i="1"/>
  <c r="D294" i="1"/>
  <c r="C294" i="1"/>
  <c r="B294" i="1"/>
  <c r="A294" i="1"/>
  <c r="E293" i="1"/>
  <c r="D293" i="1"/>
  <c r="C293" i="1"/>
  <c r="B293" i="1"/>
  <c r="A293" i="1"/>
  <c r="E292" i="1"/>
  <c r="D292" i="1"/>
  <c r="C292" i="1"/>
  <c r="B292" i="1"/>
  <c r="A292" i="1"/>
  <c r="E291" i="1"/>
  <c r="D291" i="1"/>
  <c r="C291" i="1"/>
  <c r="B291" i="1"/>
  <c r="A291" i="1"/>
  <c r="E290" i="1"/>
  <c r="D290" i="1"/>
  <c r="C290" i="1"/>
  <c r="B290" i="1"/>
  <c r="A290" i="1"/>
  <c r="E289" i="1"/>
  <c r="D289" i="1"/>
  <c r="C289" i="1"/>
  <c r="B289" i="1"/>
  <c r="A289" i="1"/>
  <c r="E288" i="1"/>
  <c r="D288" i="1"/>
  <c r="C288" i="1"/>
  <c r="B288" i="1"/>
  <c r="A288" i="1"/>
  <c r="E287" i="1"/>
  <c r="D287" i="1"/>
  <c r="C287" i="1"/>
  <c r="B287" i="1"/>
  <c r="A287" i="1"/>
  <c r="E286" i="1"/>
  <c r="D286" i="1"/>
  <c r="C286" i="1"/>
  <c r="B286" i="1"/>
  <c r="A286" i="1"/>
  <c r="D285" i="1"/>
  <c r="C285" i="1"/>
  <c r="B285" i="1"/>
  <c r="A285" i="1"/>
  <c r="E284" i="1"/>
  <c r="D284" i="1"/>
  <c r="C284" i="1"/>
  <c r="B284" i="1"/>
  <c r="A284" i="1"/>
  <c r="E283" i="1"/>
  <c r="D283" i="1"/>
  <c r="C283" i="1"/>
  <c r="B283" i="1"/>
  <c r="A283" i="1"/>
  <c r="E282" i="1"/>
  <c r="D282" i="1"/>
  <c r="C282" i="1"/>
  <c r="B282" i="1"/>
  <c r="A282" i="1"/>
  <c r="E281" i="1"/>
  <c r="D281" i="1"/>
  <c r="C281" i="1"/>
  <c r="B281" i="1"/>
  <c r="A281" i="1"/>
  <c r="E280" i="1"/>
  <c r="A280" i="1"/>
  <c r="E279" i="1"/>
  <c r="D279" i="1"/>
  <c r="C279" i="1"/>
  <c r="B279" i="1"/>
  <c r="A279" i="1"/>
  <c r="E278" i="1"/>
  <c r="D278" i="1"/>
  <c r="C278" i="1"/>
  <c r="B278" i="1"/>
  <c r="A278" i="1"/>
  <c r="E277" i="1"/>
  <c r="D277" i="1"/>
  <c r="C277" i="1"/>
  <c r="B277" i="1"/>
  <c r="A277" i="1"/>
  <c r="E276" i="1"/>
  <c r="D276" i="1"/>
  <c r="C276" i="1"/>
  <c r="B276" i="1"/>
  <c r="A276" i="1"/>
  <c r="E275" i="1"/>
  <c r="D275" i="1"/>
  <c r="C275" i="1"/>
  <c r="B275" i="1"/>
  <c r="A275" i="1"/>
  <c r="D274" i="1"/>
  <c r="C274" i="1"/>
  <c r="B274" i="1"/>
  <c r="A274" i="1"/>
  <c r="E273" i="1"/>
  <c r="D273" i="1"/>
  <c r="C273" i="1"/>
  <c r="B273" i="1"/>
  <c r="A273" i="1"/>
  <c r="E272" i="1"/>
  <c r="D272" i="1"/>
  <c r="C272" i="1"/>
  <c r="B272" i="1"/>
  <c r="A272" i="1"/>
  <c r="E271" i="1"/>
  <c r="D271" i="1"/>
  <c r="C271" i="1"/>
  <c r="B271" i="1"/>
  <c r="A271" i="1"/>
  <c r="E270" i="1"/>
  <c r="D270" i="1"/>
  <c r="C270" i="1"/>
  <c r="B270" i="1"/>
  <c r="A270" i="1"/>
  <c r="E269" i="1"/>
  <c r="D269" i="1"/>
  <c r="C269" i="1"/>
  <c r="B269" i="1"/>
  <c r="A269" i="1"/>
  <c r="E268" i="1"/>
  <c r="D268" i="1"/>
  <c r="C268" i="1"/>
  <c r="B268" i="1"/>
  <c r="A268" i="1"/>
  <c r="E267" i="1"/>
  <c r="D267" i="1"/>
  <c r="C267" i="1"/>
  <c r="B267" i="1"/>
  <c r="A267" i="1"/>
  <c r="E266" i="1"/>
  <c r="D266" i="1"/>
  <c r="C266" i="1"/>
  <c r="B266" i="1"/>
  <c r="A266" i="1"/>
  <c r="E265" i="1"/>
  <c r="D265" i="1"/>
  <c r="C265" i="1"/>
  <c r="B265" i="1"/>
  <c r="A265" i="1"/>
  <c r="E264" i="1"/>
  <c r="D264" i="1"/>
  <c r="C264" i="1"/>
  <c r="B264" i="1"/>
  <c r="A264" i="1"/>
  <c r="A263" i="1"/>
  <c r="E262" i="1"/>
  <c r="D262" i="1"/>
  <c r="C262" i="1"/>
  <c r="B262" i="1"/>
  <c r="A262" i="1"/>
  <c r="E261" i="1"/>
  <c r="D261" i="1"/>
  <c r="C261" i="1"/>
  <c r="B261" i="1"/>
  <c r="A261" i="1"/>
  <c r="E260" i="1"/>
  <c r="D260" i="1"/>
  <c r="C260" i="1"/>
  <c r="B260" i="1"/>
  <c r="A260" i="1"/>
  <c r="E259" i="1"/>
  <c r="D259" i="1"/>
  <c r="C259" i="1"/>
  <c r="B259" i="1"/>
  <c r="A259" i="1"/>
  <c r="E258" i="1"/>
  <c r="D258" i="1"/>
  <c r="C258" i="1"/>
  <c r="B258" i="1"/>
  <c r="A258" i="1"/>
  <c r="E257" i="1"/>
  <c r="D257" i="1"/>
  <c r="C257" i="1"/>
  <c r="B257" i="1"/>
  <c r="A257" i="1"/>
  <c r="E256" i="1"/>
  <c r="D256" i="1"/>
  <c r="C256" i="1"/>
  <c r="B256" i="1"/>
  <c r="A256" i="1"/>
  <c r="E255" i="1"/>
  <c r="D255" i="1"/>
  <c r="C255" i="1"/>
  <c r="B255" i="1"/>
  <c r="A255" i="1"/>
  <c r="E254" i="1"/>
  <c r="D254" i="1"/>
  <c r="C254" i="1"/>
  <c r="B254" i="1"/>
  <c r="A254" i="1"/>
  <c r="A253" i="1"/>
  <c r="E252" i="1"/>
  <c r="D252" i="1"/>
  <c r="C252" i="1"/>
  <c r="B252" i="1"/>
  <c r="A252" i="1"/>
  <c r="E251" i="1"/>
  <c r="D251" i="1"/>
  <c r="C251" i="1"/>
  <c r="B251" i="1"/>
  <c r="A251" i="1"/>
  <c r="E250" i="1"/>
  <c r="D250" i="1"/>
  <c r="C250" i="1"/>
  <c r="B250" i="1"/>
  <c r="A250" i="1"/>
  <c r="E249" i="1"/>
  <c r="D249" i="1"/>
  <c r="C249" i="1"/>
  <c r="B249" i="1"/>
  <c r="A249" i="1"/>
  <c r="E248" i="1"/>
  <c r="D248" i="1"/>
  <c r="C248" i="1"/>
  <c r="B248" i="1"/>
  <c r="A248" i="1"/>
  <c r="C247" i="1"/>
  <c r="A247" i="1"/>
  <c r="E246" i="1"/>
  <c r="D246" i="1"/>
  <c r="C246" i="1"/>
  <c r="B246" i="1"/>
  <c r="A246" i="1"/>
  <c r="E245" i="1"/>
  <c r="D245" i="1"/>
  <c r="C245" i="1"/>
  <c r="B245" i="1"/>
  <c r="A245" i="1"/>
  <c r="E244" i="1"/>
  <c r="D244" i="1"/>
  <c r="C244" i="1"/>
  <c r="B244" i="1"/>
  <c r="A244" i="1"/>
  <c r="E243" i="1"/>
  <c r="D243" i="1"/>
  <c r="C243" i="1"/>
  <c r="B243" i="1"/>
  <c r="A243" i="1"/>
  <c r="E242" i="1"/>
  <c r="D242" i="1"/>
  <c r="C242" i="1"/>
  <c r="B242" i="1"/>
  <c r="A242" i="1"/>
  <c r="C241" i="1"/>
  <c r="E240" i="1"/>
  <c r="D240" i="1"/>
  <c r="C240" i="1"/>
  <c r="B240" i="1"/>
  <c r="A240" i="1"/>
  <c r="E239" i="1"/>
  <c r="D239" i="1"/>
  <c r="C239" i="1"/>
  <c r="B239" i="1"/>
  <c r="A239" i="1"/>
  <c r="E238" i="1"/>
  <c r="D238" i="1"/>
  <c r="C238" i="1"/>
  <c r="B238" i="1"/>
  <c r="A238" i="1"/>
  <c r="C237" i="1"/>
  <c r="A237" i="1"/>
  <c r="E236" i="1"/>
  <c r="D236" i="1"/>
  <c r="C236" i="1"/>
  <c r="B236" i="1"/>
  <c r="A236" i="1"/>
  <c r="E235" i="1"/>
  <c r="D235" i="1"/>
  <c r="C235" i="1"/>
  <c r="B235" i="1"/>
  <c r="A235" i="1"/>
  <c r="E234" i="1"/>
  <c r="D234" i="1"/>
  <c r="C234" i="1"/>
  <c r="B234" i="1"/>
  <c r="A234" i="1"/>
  <c r="E233" i="1"/>
  <c r="D233" i="1"/>
  <c r="C233" i="1"/>
  <c r="B233" i="1"/>
  <c r="A233" i="1"/>
  <c r="C232" i="1"/>
  <c r="A232" i="1"/>
  <c r="E231" i="1"/>
  <c r="D231" i="1"/>
  <c r="C231" i="1"/>
  <c r="B231" i="1"/>
  <c r="A231" i="1"/>
  <c r="E230" i="1"/>
  <c r="D230" i="1"/>
  <c r="C230" i="1"/>
  <c r="B230" i="1"/>
  <c r="A230" i="1"/>
  <c r="E229" i="1"/>
  <c r="D229" i="1"/>
  <c r="C229" i="1"/>
  <c r="B229" i="1"/>
  <c r="A229" i="1"/>
  <c r="E228" i="1"/>
  <c r="D228" i="1"/>
  <c r="C228" i="1"/>
  <c r="B228" i="1"/>
  <c r="A228" i="1"/>
  <c r="E227" i="1"/>
  <c r="D227" i="1"/>
  <c r="C227" i="1"/>
  <c r="B227" i="1"/>
  <c r="A227" i="1"/>
  <c r="C226" i="1"/>
  <c r="A226" i="1"/>
  <c r="E225" i="1"/>
  <c r="D225" i="1"/>
  <c r="C225" i="1"/>
  <c r="B225" i="1"/>
  <c r="A225" i="1"/>
  <c r="E224" i="1"/>
  <c r="D224" i="1"/>
  <c r="C224" i="1"/>
  <c r="B224" i="1"/>
  <c r="A224" i="1"/>
  <c r="E223" i="1"/>
  <c r="D223" i="1"/>
  <c r="C223" i="1"/>
  <c r="B223" i="1"/>
  <c r="A223" i="1"/>
  <c r="E222" i="1"/>
  <c r="D222" i="1"/>
  <c r="C222" i="1"/>
  <c r="B222" i="1"/>
  <c r="A222" i="1"/>
  <c r="E221" i="1"/>
  <c r="D221" i="1"/>
  <c r="C221" i="1"/>
  <c r="B221" i="1"/>
  <c r="A221" i="1"/>
  <c r="C220" i="1"/>
  <c r="A220" i="1"/>
  <c r="E219" i="1"/>
  <c r="D219" i="1"/>
  <c r="C219" i="1"/>
  <c r="B219" i="1"/>
  <c r="A219" i="1"/>
  <c r="E218" i="1"/>
  <c r="D218" i="1"/>
  <c r="C218" i="1"/>
  <c r="B218" i="1"/>
  <c r="A218" i="1"/>
  <c r="E217" i="1"/>
  <c r="D217" i="1"/>
  <c r="C217" i="1"/>
  <c r="B217" i="1"/>
  <c r="A217" i="1"/>
  <c r="E216" i="1"/>
  <c r="D216" i="1"/>
  <c r="C216" i="1"/>
  <c r="B216" i="1"/>
  <c r="A216" i="1"/>
  <c r="E215" i="1"/>
  <c r="D215" i="1"/>
  <c r="C215" i="1"/>
  <c r="B215" i="1"/>
  <c r="A215" i="1"/>
  <c r="D214" i="1"/>
  <c r="C214" i="1"/>
  <c r="A214" i="1"/>
  <c r="E213" i="1"/>
  <c r="D213" i="1"/>
  <c r="C213" i="1"/>
  <c r="B213" i="1"/>
  <c r="A213" i="1"/>
  <c r="E212" i="1"/>
  <c r="D212" i="1"/>
  <c r="C212" i="1"/>
  <c r="B212" i="1"/>
  <c r="A212" i="1"/>
  <c r="E211" i="1"/>
  <c r="D211" i="1"/>
  <c r="C211" i="1"/>
  <c r="B211" i="1"/>
  <c r="A211" i="1"/>
  <c r="E210" i="1"/>
  <c r="D210" i="1"/>
  <c r="C210" i="1"/>
  <c r="B210" i="1"/>
  <c r="A210" i="1"/>
  <c r="E209" i="1"/>
  <c r="D209" i="1"/>
  <c r="C209" i="1"/>
  <c r="B209" i="1"/>
  <c r="A209" i="1"/>
  <c r="D208" i="1"/>
  <c r="C208" i="1"/>
  <c r="A208" i="1"/>
  <c r="E207" i="1"/>
  <c r="D207" i="1"/>
  <c r="C207" i="1"/>
  <c r="B207" i="1"/>
  <c r="A207" i="1"/>
  <c r="E206" i="1"/>
  <c r="D206" i="1"/>
  <c r="C206" i="1"/>
  <c r="B206" i="1"/>
  <c r="A206" i="1"/>
  <c r="E205" i="1"/>
  <c r="D205" i="1"/>
  <c r="C205" i="1"/>
  <c r="B205" i="1"/>
  <c r="A205" i="1"/>
  <c r="E204" i="1"/>
  <c r="D204" i="1"/>
  <c r="C204" i="1"/>
  <c r="B204" i="1"/>
  <c r="A204" i="1"/>
  <c r="E203" i="1"/>
  <c r="D203" i="1"/>
  <c r="C203" i="1"/>
  <c r="B203" i="1"/>
  <c r="A203" i="1"/>
  <c r="D202" i="1"/>
  <c r="C202" i="1"/>
  <c r="A202" i="1"/>
  <c r="E201" i="1"/>
  <c r="D201" i="1"/>
  <c r="C201" i="1"/>
  <c r="B201" i="1"/>
  <c r="A201" i="1"/>
  <c r="E200" i="1"/>
  <c r="D200" i="1"/>
  <c r="C200" i="1"/>
  <c r="B200" i="1"/>
  <c r="A200" i="1"/>
  <c r="E199" i="1"/>
  <c r="D199" i="1"/>
  <c r="C199" i="1"/>
  <c r="B199" i="1"/>
  <c r="A199" i="1"/>
  <c r="E198" i="1"/>
  <c r="D198" i="1"/>
  <c r="C198" i="1"/>
  <c r="B198" i="1"/>
  <c r="A198" i="1"/>
  <c r="E197" i="1"/>
  <c r="D197" i="1"/>
  <c r="C197" i="1"/>
  <c r="B197" i="1"/>
  <c r="A197" i="1"/>
  <c r="D196" i="1"/>
  <c r="C196" i="1"/>
  <c r="A196" i="1"/>
  <c r="E195" i="1"/>
  <c r="D195" i="1"/>
  <c r="C195" i="1"/>
  <c r="B195" i="1"/>
  <c r="A195" i="1"/>
  <c r="E194" i="1"/>
  <c r="D194" i="1"/>
  <c r="C194" i="1"/>
  <c r="B194" i="1"/>
  <c r="A194" i="1"/>
  <c r="E193" i="1"/>
  <c r="D193" i="1"/>
  <c r="C193" i="1"/>
  <c r="B193" i="1"/>
  <c r="A193" i="1"/>
  <c r="E192" i="1"/>
  <c r="D192" i="1"/>
  <c r="C192" i="1"/>
  <c r="B192" i="1"/>
  <c r="A192" i="1"/>
  <c r="E191" i="1"/>
  <c r="D191" i="1"/>
  <c r="C191" i="1"/>
  <c r="B191" i="1"/>
  <c r="A191" i="1"/>
  <c r="D190" i="1"/>
  <c r="C190" i="1"/>
  <c r="A190" i="1"/>
  <c r="E189" i="1"/>
  <c r="D189" i="1"/>
  <c r="C189" i="1"/>
  <c r="B189" i="1"/>
  <c r="A189" i="1"/>
  <c r="E188" i="1"/>
  <c r="D188" i="1"/>
  <c r="C188" i="1"/>
  <c r="B188" i="1"/>
  <c r="A188" i="1"/>
  <c r="E187" i="1"/>
  <c r="D187" i="1"/>
  <c r="C187" i="1"/>
  <c r="B187" i="1"/>
  <c r="A187" i="1"/>
  <c r="E186" i="1"/>
  <c r="D186" i="1"/>
  <c r="C186" i="1"/>
  <c r="B186" i="1"/>
  <c r="A186" i="1"/>
  <c r="E185" i="1"/>
  <c r="D185" i="1"/>
  <c r="C185" i="1"/>
  <c r="B185" i="1"/>
  <c r="A185" i="1"/>
  <c r="D184" i="1"/>
  <c r="C184" i="1"/>
  <c r="A184" i="1"/>
  <c r="E183" i="1"/>
  <c r="D183" i="1"/>
  <c r="C183" i="1"/>
  <c r="B183" i="1"/>
  <c r="A183" i="1"/>
  <c r="E182" i="1"/>
  <c r="D182" i="1"/>
  <c r="C182" i="1"/>
  <c r="B182" i="1"/>
  <c r="A182" i="1"/>
  <c r="E181" i="1"/>
  <c r="D181" i="1"/>
  <c r="C181" i="1"/>
  <c r="B181" i="1"/>
  <c r="A181" i="1"/>
  <c r="E180" i="1"/>
  <c r="D180" i="1"/>
  <c r="C180" i="1"/>
  <c r="B180" i="1"/>
  <c r="A180" i="1"/>
  <c r="E179" i="1"/>
  <c r="D179" i="1"/>
  <c r="C179" i="1"/>
  <c r="B179" i="1"/>
  <c r="A179" i="1"/>
  <c r="C178" i="1"/>
  <c r="A178" i="1"/>
  <c r="E177" i="1"/>
  <c r="D177" i="1"/>
  <c r="C177" i="1"/>
  <c r="B177" i="1"/>
  <c r="A177" i="1"/>
  <c r="E176" i="1"/>
  <c r="D176" i="1"/>
  <c r="C176" i="1"/>
  <c r="B176" i="1"/>
  <c r="A176" i="1"/>
  <c r="E175" i="1"/>
  <c r="D175" i="1"/>
  <c r="C175" i="1"/>
  <c r="B175" i="1"/>
  <c r="A175" i="1"/>
  <c r="E174" i="1"/>
  <c r="D174" i="1"/>
  <c r="C174" i="1"/>
  <c r="B174" i="1"/>
  <c r="A174" i="1"/>
  <c r="E173" i="1"/>
  <c r="D173" i="1"/>
  <c r="C173" i="1"/>
  <c r="B173" i="1"/>
  <c r="A173" i="1"/>
  <c r="D172" i="1"/>
  <c r="C172" i="1"/>
  <c r="A172" i="1"/>
  <c r="E171" i="1"/>
  <c r="D171" i="1"/>
  <c r="C171" i="1"/>
  <c r="B171" i="1"/>
  <c r="A171" i="1"/>
  <c r="E170" i="1"/>
  <c r="D170" i="1"/>
  <c r="C170" i="1"/>
  <c r="B170" i="1"/>
  <c r="A170" i="1"/>
  <c r="E169" i="1"/>
  <c r="D169" i="1"/>
  <c r="C169" i="1"/>
  <c r="B169" i="1"/>
  <c r="A169" i="1"/>
  <c r="E168" i="1"/>
  <c r="D168" i="1"/>
  <c r="C168" i="1"/>
  <c r="B168" i="1"/>
  <c r="A168" i="1"/>
  <c r="D167" i="1"/>
  <c r="C167" i="1"/>
  <c r="A167" i="1"/>
  <c r="E166" i="1"/>
  <c r="D166" i="1"/>
  <c r="C166" i="1"/>
  <c r="B166" i="1"/>
  <c r="A166" i="1"/>
  <c r="E165" i="1"/>
  <c r="D165" i="1"/>
  <c r="C165" i="1"/>
  <c r="B165" i="1"/>
  <c r="A165" i="1"/>
  <c r="E164" i="1"/>
  <c r="D164" i="1"/>
  <c r="C164" i="1"/>
  <c r="B164" i="1"/>
  <c r="A164" i="1"/>
  <c r="E163" i="1"/>
  <c r="D163" i="1"/>
  <c r="C163" i="1"/>
  <c r="B163" i="1"/>
  <c r="A163" i="1"/>
  <c r="E162" i="1"/>
  <c r="D162" i="1"/>
  <c r="C162" i="1"/>
  <c r="B162" i="1"/>
  <c r="A162" i="1"/>
  <c r="D161" i="1"/>
  <c r="C161" i="1"/>
  <c r="A161" i="1"/>
  <c r="E160" i="1"/>
  <c r="D160" i="1"/>
  <c r="C160" i="1"/>
  <c r="B160" i="1"/>
  <c r="A160" i="1"/>
  <c r="E159" i="1"/>
  <c r="D159" i="1"/>
  <c r="C159" i="1"/>
  <c r="B159" i="1"/>
  <c r="A159" i="1"/>
  <c r="E158" i="1"/>
  <c r="D158" i="1"/>
  <c r="C158" i="1"/>
  <c r="B158" i="1"/>
  <c r="A158" i="1"/>
  <c r="E157" i="1"/>
  <c r="D157" i="1"/>
  <c r="C157" i="1"/>
  <c r="B157" i="1"/>
  <c r="A157" i="1"/>
  <c r="E156" i="1"/>
  <c r="D156" i="1"/>
  <c r="C156" i="1"/>
  <c r="B156" i="1"/>
  <c r="A156" i="1"/>
  <c r="D155" i="1"/>
  <c r="C155" i="1"/>
  <c r="A155" i="1"/>
  <c r="E154" i="1"/>
  <c r="D154" i="1"/>
  <c r="C154" i="1"/>
  <c r="B154" i="1"/>
  <c r="A154" i="1"/>
  <c r="E153" i="1"/>
  <c r="D153" i="1"/>
  <c r="C153" i="1"/>
  <c r="B153" i="1"/>
  <c r="A153" i="1"/>
  <c r="E152" i="1"/>
  <c r="D152" i="1"/>
  <c r="C152" i="1"/>
  <c r="B152" i="1"/>
  <c r="A152" i="1"/>
  <c r="E151" i="1"/>
  <c r="D151" i="1"/>
  <c r="C151" i="1"/>
  <c r="B151" i="1"/>
  <c r="A151" i="1"/>
  <c r="E150" i="1"/>
  <c r="D150" i="1"/>
  <c r="C150" i="1"/>
  <c r="B150" i="1"/>
  <c r="A150" i="1"/>
  <c r="D149" i="1"/>
  <c r="C149" i="1"/>
  <c r="A149" i="1"/>
  <c r="E148" i="1"/>
  <c r="D148" i="1"/>
  <c r="C148" i="1"/>
  <c r="B148" i="1"/>
  <c r="A148" i="1"/>
  <c r="E147" i="1"/>
  <c r="D147" i="1"/>
  <c r="C147" i="1"/>
  <c r="B147" i="1"/>
  <c r="A147" i="1"/>
  <c r="E146" i="1"/>
  <c r="D146" i="1"/>
  <c r="C146" i="1"/>
  <c r="B146" i="1"/>
  <c r="A146" i="1"/>
  <c r="E145" i="1"/>
  <c r="D145" i="1"/>
  <c r="C145" i="1"/>
  <c r="B145" i="1"/>
  <c r="A145" i="1"/>
  <c r="E144" i="1"/>
  <c r="D144" i="1"/>
  <c r="C144" i="1"/>
  <c r="B144" i="1"/>
  <c r="A144" i="1"/>
  <c r="D143" i="1"/>
  <c r="C143" i="1"/>
  <c r="A143" i="1"/>
  <c r="E142" i="1"/>
  <c r="D142" i="1"/>
  <c r="C142" i="1"/>
  <c r="B142" i="1"/>
  <c r="A142" i="1"/>
  <c r="E141" i="1"/>
  <c r="D141" i="1"/>
  <c r="C141" i="1"/>
  <c r="B141" i="1"/>
  <c r="A141" i="1"/>
  <c r="E140" i="1"/>
  <c r="D140" i="1"/>
  <c r="C140" i="1"/>
  <c r="B140" i="1"/>
  <c r="A140" i="1"/>
  <c r="E139" i="1"/>
  <c r="D139" i="1"/>
  <c r="C139" i="1"/>
  <c r="B139" i="1"/>
  <c r="A139" i="1"/>
  <c r="E138" i="1"/>
  <c r="D138" i="1"/>
  <c r="C138" i="1"/>
  <c r="B138" i="1"/>
  <c r="A138" i="1"/>
  <c r="D137" i="1"/>
  <c r="C137" i="1"/>
  <c r="A137" i="1"/>
  <c r="E136" i="1"/>
  <c r="D136" i="1"/>
  <c r="C136" i="1"/>
  <c r="B136" i="1"/>
  <c r="A136" i="1"/>
  <c r="E135" i="1"/>
  <c r="D135" i="1"/>
  <c r="C135" i="1"/>
  <c r="B135" i="1"/>
  <c r="A135" i="1"/>
  <c r="E134" i="1"/>
  <c r="D134" i="1"/>
  <c r="C134" i="1"/>
  <c r="B134" i="1"/>
  <c r="A134" i="1"/>
  <c r="E133" i="1"/>
  <c r="D133" i="1"/>
  <c r="C133" i="1"/>
  <c r="B133" i="1"/>
  <c r="A133" i="1"/>
  <c r="E132" i="1"/>
  <c r="D132" i="1"/>
  <c r="C132" i="1"/>
  <c r="B132" i="1"/>
  <c r="A132" i="1"/>
  <c r="D131" i="1"/>
  <c r="C131" i="1"/>
  <c r="A131" i="1"/>
  <c r="E130" i="1"/>
  <c r="D130" i="1"/>
  <c r="C130" i="1"/>
  <c r="B130" i="1"/>
  <c r="A130" i="1"/>
  <c r="E129" i="1"/>
  <c r="D129" i="1"/>
  <c r="C129" i="1"/>
  <c r="B129" i="1"/>
  <c r="A129" i="1"/>
  <c r="E128" i="1"/>
  <c r="D128" i="1"/>
  <c r="C128" i="1"/>
  <c r="B128" i="1"/>
  <c r="A128" i="1"/>
  <c r="E127" i="1"/>
  <c r="D127" i="1"/>
  <c r="C127" i="1"/>
  <c r="B127" i="1"/>
  <c r="A127" i="1"/>
  <c r="E126" i="1"/>
  <c r="D126" i="1"/>
  <c r="C126" i="1"/>
  <c r="B126" i="1"/>
  <c r="A126" i="1"/>
  <c r="D125" i="1"/>
  <c r="C125" i="1"/>
  <c r="A125" i="1"/>
  <c r="E124" i="1"/>
  <c r="D124" i="1"/>
  <c r="C124" i="1"/>
  <c r="B124" i="1"/>
  <c r="A124" i="1"/>
  <c r="E123" i="1"/>
  <c r="D123" i="1"/>
  <c r="C123" i="1"/>
  <c r="B123" i="1"/>
  <c r="A123" i="1"/>
  <c r="E122" i="1"/>
  <c r="D122" i="1"/>
  <c r="C122" i="1"/>
  <c r="B122" i="1"/>
  <c r="A122" i="1"/>
  <c r="E121" i="1"/>
  <c r="D121" i="1"/>
  <c r="C121" i="1"/>
  <c r="B121" i="1"/>
  <c r="A121" i="1"/>
  <c r="E120" i="1"/>
  <c r="D120" i="1"/>
  <c r="C120" i="1"/>
  <c r="B120" i="1"/>
  <c r="A120" i="1"/>
  <c r="C119" i="1"/>
  <c r="A119" i="1"/>
  <c r="E118" i="1"/>
  <c r="D118" i="1"/>
  <c r="C118" i="1"/>
  <c r="B118" i="1"/>
  <c r="A118" i="1"/>
  <c r="E117" i="1"/>
  <c r="D117" i="1"/>
  <c r="C117" i="1"/>
  <c r="B117" i="1"/>
  <c r="A117" i="1"/>
  <c r="E116" i="1"/>
  <c r="D116" i="1"/>
  <c r="C116" i="1"/>
  <c r="B116" i="1"/>
  <c r="A116" i="1"/>
  <c r="E115" i="1"/>
  <c r="D115" i="1"/>
  <c r="C115" i="1"/>
  <c r="B115" i="1"/>
  <c r="A115" i="1"/>
  <c r="E114" i="1"/>
  <c r="D114" i="1"/>
  <c r="C114" i="1"/>
  <c r="B114" i="1"/>
  <c r="A114" i="1"/>
  <c r="C113" i="1"/>
  <c r="A113" i="1"/>
  <c r="E112" i="1"/>
  <c r="D112" i="1"/>
  <c r="C112" i="1"/>
  <c r="B112" i="1"/>
  <c r="A112" i="1"/>
  <c r="E111" i="1"/>
  <c r="D111" i="1"/>
  <c r="C111" i="1"/>
  <c r="B111" i="1"/>
  <c r="A111" i="1"/>
  <c r="E110" i="1"/>
  <c r="D110" i="1"/>
  <c r="C110" i="1"/>
  <c r="B110" i="1"/>
  <c r="A110" i="1"/>
  <c r="E109" i="1"/>
  <c r="D109" i="1"/>
  <c r="C109" i="1"/>
  <c r="B109" i="1"/>
  <c r="A109" i="1"/>
  <c r="E108" i="1"/>
  <c r="D108" i="1"/>
  <c r="C108" i="1"/>
  <c r="B108" i="1"/>
  <c r="A108" i="1"/>
  <c r="A107" i="1"/>
  <c r="E106" i="1"/>
  <c r="D106" i="1"/>
  <c r="C106" i="1"/>
  <c r="B106" i="1"/>
  <c r="A106" i="1"/>
  <c r="E105" i="1"/>
  <c r="D105" i="1"/>
  <c r="C105" i="1"/>
  <c r="B105" i="1"/>
  <c r="A105" i="1"/>
  <c r="E104" i="1"/>
  <c r="D104" i="1"/>
  <c r="C104" i="1"/>
  <c r="B104" i="1"/>
  <c r="A104" i="1"/>
  <c r="E103" i="1"/>
  <c r="D103" i="1"/>
  <c r="C103" i="1"/>
  <c r="B103" i="1"/>
  <c r="A103" i="1"/>
  <c r="E102" i="1"/>
  <c r="D102" i="1"/>
  <c r="C102" i="1"/>
  <c r="B102" i="1"/>
  <c r="A102" i="1"/>
  <c r="A101" i="1"/>
  <c r="E100" i="1"/>
  <c r="D100" i="1"/>
  <c r="C100" i="1"/>
  <c r="B100" i="1"/>
  <c r="A100" i="1"/>
  <c r="E99" i="1"/>
  <c r="D99" i="1"/>
  <c r="C99" i="1"/>
  <c r="B99" i="1"/>
  <c r="A99" i="1"/>
  <c r="E98" i="1"/>
  <c r="D98" i="1"/>
  <c r="C98" i="1"/>
  <c r="B98" i="1"/>
  <c r="A98" i="1"/>
  <c r="E97" i="1"/>
  <c r="D97" i="1"/>
  <c r="C97" i="1"/>
  <c r="B97" i="1"/>
  <c r="A97" i="1"/>
  <c r="E96" i="1"/>
  <c r="D96" i="1"/>
  <c r="C96" i="1"/>
  <c r="B96" i="1"/>
  <c r="A96" i="1"/>
  <c r="A95" i="1"/>
  <c r="E94" i="1"/>
  <c r="D94" i="1"/>
  <c r="C94" i="1"/>
  <c r="B94" i="1"/>
  <c r="A94" i="1"/>
  <c r="E93" i="1"/>
  <c r="D93" i="1"/>
  <c r="C93" i="1"/>
  <c r="B93" i="1"/>
  <c r="A93" i="1"/>
  <c r="E92" i="1"/>
  <c r="D92" i="1"/>
  <c r="C92" i="1"/>
  <c r="B92" i="1"/>
  <c r="A92" i="1"/>
  <c r="E91" i="1"/>
  <c r="D91" i="1"/>
  <c r="C91" i="1"/>
  <c r="B91" i="1"/>
  <c r="A91" i="1"/>
  <c r="E90" i="1"/>
  <c r="D90" i="1"/>
  <c r="C90" i="1"/>
  <c r="B90" i="1"/>
  <c r="A90" i="1"/>
  <c r="A89" i="1"/>
  <c r="E88" i="1"/>
  <c r="D88" i="1"/>
  <c r="C88" i="1"/>
  <c r="B88" i="1"/>
  <c r="A88" i="1"/>
  <c r="E87" i="1"/>
  <c r="D87" i="1"/>
  <c r="C87" i="1"/>
  <c r="B87" i="1"/>
  <c r="A87" i="1"/>
  <c r="E86" i="1"/>
  <c r="D86" i="1"/>
  <c r="C86" i="1"/>
  <c r="B86" i="1"/>
  <c r="A86" i="1"/>
  <c r="E85" i="1"/>
  <c r="D85" i="1"/>
  <c r="C85" i="1"/>
  <c r="B85" i="1"/>
  <c r="A85" i="1"/>
  <c r="E84" i="1"/>
  <c r="D84" i="1"/>
  <c r="C84" i="1"/>
  <c r="B84" i="1"/>
  <c r="A84" i="1"/>
  <c r="E83" i="1"/>
  <c r="D83" i="1"/>
  <c r="C83" i="1"/>
  <c r="B83" i="1"/>
  <c r="A83" i="1"/>
  <c r="E82" i="1"/>
  <c r="D82" i="1"/>
  <c r="C82" i="1"/>
  <c r="B82" i="1"/>
  <c r="A82" i="1"/>
  <c r="E81" i="1"/>
  <c r="D81" i="1"/>
  <c r="C81" i="1"/>
  <c r="B81" i="1"/>
  <c r="A81" i="1"/>
  <c r="E80" i="1"/>
  <c r="D80" i="1"/>
  <c r="C80" i="1"/>
  <c r="B80" i="1"/>
  <c r="A80" i="1"/>
  <c r="E79" i="1"/>
  <c r="D79" i="1"/>
  <c r="C79" i="1"/>
  <c r="B79" i="1"/>
  <c r="A79" i="1"/>
  <c r="A78" i="1"/>
  <c r="E77" i="1"/>
  <c r="D77" i="1"/>
  <c r="C77" i="1"/>
  <c r="B77" i="1"/>
  <c r="A77" i="1"/>
  <c r="E76" i="1"/>
  <c r="D76" i="1"/>
  <c r="C76" i="1"/>
  <c r="B76" i="1"/>
  <c r="A76" i="1"/>
  <c r="E75" i="1"/>
  <c r="D75" i="1"/>
  <c r="C75" i="1"/>
  <c r="B75" i="1"/>
  <c r="A75" i="1"/>
  <c r="E74" i="1"/>
  <c r="D74" i="1"/>
  <c r="C74" i="1"/>
  <c r="B74" i="1"/>
  <c r="A74" i="1"/>
  <c r="E73" i="1"/>
  <c r="D73" i="1"/>
  <c r="C73" i="1"/>
  <c r="B73" i="1"/>
  <c r="A73" i="1"/>
  <c r="E72" i="1"/>
  <c r="D72" i="1"/>
  <c r="C72" i="1"/>
  <c r="B72" i="1"/>
  <c r="A72" i="1"/>
  <c r="E71" i="1"/>
  <c r="D71" i="1"/>
  <c r="C71" i="1"/>
  <c r="B71" i="1"/>
  <c r="A71" i="1"/>
  <c r="E70" i="1"/>
  <c r="D70" i="1"/>
  <c r="C70" i="1"/>
  <c r="B70" i="1"/>
  <c r="A70" i="1"/>
  <c r="E69" i="1"/>
  <c r="D69" i="1"/>
  <c r="C69" i="1"/>
  <c r="B69" i="1"/>
  <c r="A69" i="1"/>
  <c r="E68" i="1"/>
  <c r="D68" i="1"/>
  <c r="C68" i="1"/>
  <c r="B68" i="1"/>
  <c r="A68" i="1"/>
  <c r="A67" i="1"/>
  <c r="E66" i="1"/>
  <c r="D66" i="1"/>
  <c r="C66" i="1"/>
  <c r="B66" i="1"/>
  <c r="A66" i="1"/>
  <c r="E65" i="1"/>
  <c r="D65" i="1"/>
  <c r="C65" i="1"/>
  <c r="B65" i="1"/>
  <c r="A65" i="1"/>
  <c r="D64" i="1"/>
  <c r="C64" i="1"/>
  <c r="A64" i="1"/>
  <c r="E63" i="1"/>
  <c r="D63" i="1"/>
  <c r="C63" i="1"/>
  <c r="B63" i="1"/>
  <c r="A63" i="1"/>
  <c r="E62" i="1"/>
  <c r="D62" i="1"/>
  <c r="C62" i="1"/>
  <c r="B62" i="1"/>
  <c r="A62" i="1"/>
  <c r="E61" i="1"/>
  <c r="D61" i="1"/>
  <c r="C61" i="1"/>
  <c r="B61" i="1"/>
  <c r="A61" i="1"/>
  <c r="E60" i="1"/>
  <c r="D60" i="1"/>
  <c r="C60" i="1"/>
  <c r="B60" i="1"/>
  <c r="A60" i="1"/>
  <c r="D59" i="1"/>
  <c r="C59" i="1"/>
  <c r="A59" i="1"/>
  <c r="E58" i="1"/>
  <c r="D58" i="1"/>
  <c r="C58" i="1"/>
  <c r="B58" i="1"/>
  <c r="A58" i="1"/>
  <c r="E57" i="1"/>
  <c r="D57" i="1"/>
  <c r="C57" i="1"/>
  <c r="B57" i="1"/>
  <c r="A57" i="1"/>
  <c r="E56" i="1"/>
  <c r="D56" i="1"/>
  <c r="C56" i="1"/>
  <c r="B56" i="1"/>
  <c r="A56" i="1"/>
  <c r="E55" i="1"/>
  <c r="D55" i="1"/>
  <c r="C55" i="1"/>
  <c r="B55" i="1"/>
  <c r="A55" i="1"/>
  <c r="E54" i="1"/>
  <c r="D54" i="1"/>
  <c r="C54" i="1"/>
  <c r="B54" i="1"/>
  <c r="A54" i="1"/>
  <c r="D53" i="1"/>
  <c r="C53" i="1"/>
  <c r="A53" i="1"/>
  <c r="E52" i="1"/>
  <c r="D52" i="1"/>
  <c r="C52" i="1"/>
  <c r="B52" i="1"/>
  <c r="A52" i="1"/>
  <c r="E51" i="1"/>
  <c r="D51" i="1"/>
  <c r="C51" i="1"/>
  <c r="B51" i="1"/>
  <c r="A51" i="1"/>
  <c r="E50" i="1"/>
  <c r="D50" i="1"/>
  <c r="C50" i="1"/>
  <c r="B50" i="1"/>
  <c r="A50" i="1"/>
  <c r="E49" i="1"/>
  <c r="D49" i="1"/>
  <c r="C49" i="1"/>
  <c r="B49" i="1"/>
  <c r="A49" i="1"/>
  <c r="E48" i="1"/>
  <c r="D48" i="1"/>
  <c r="C48" i="1"/>
  <c r="B48" i="1"/>
  <c r="A48" i="1"/>
  <c r="D47" i="1"/>
  <c r="C47" i="1"/>
  <c r="A47" i="1"/>
  <c r="E46" i="1"/>
  <c r="D46" i="1"/>
  <c r="C46" i="1"/>
  <c r="B46" i="1"/>
  <c r="A46" i="1"/>
  <c r="E45" i="1"/>
  <c r="D45" i="1"/>
  <c r="C45" i="1"/>
  <c r="B45" i="1"/>
  <c r="A45" i="1"/>
  <c r="E44" i="1"/>
  <c r="D44" i="1"/>
  <c r="C44" i="1"/>
  <c r="B44" i="1"/>
  <c r="A44" i="1"/>
  <c r="E43" i="1"/>
  <c r="D43" i="1"/>
  <c r="C43" i="1"/>
  <c r="B43" i="1"/>
  <c r="A43" i="1"/>
  <c r="E42" i="1"/>
  <c r="D42" i="1"/>
  <c r="C42" i="1"/>
  <c r="B42" i="1"/>
  <c r="A42" i="1"/>
  <c r="D41" i="1"/>
  <c r="C41" i="1"/>
  <c r="A41" i="1"/>
  <c r="E40" i="1"/>
  <c r="D40" i="1"/>
  <c r="C40" i="1"/>
  <c r="B40" i="1"/>
  <c r="A40" i="1"/>
  <c r="E39" i="1"/>
  <c r="D39" i="1"/>
  <c r="C39" i="1"/>
  <c r="B39" i="1"/>
  <c r="A39" i="1"/>
  <c r="E38" i="1"/>
  <c r="D38" i="1"/>
  <c r="C38" i="1"/>
  <c r="B38" i="1"/>
  <c r="A38" i="1"/>
  <c r="E37" i="1"/>
  <c r="D37" i="1"/>
  <c r="C37" i="1"/>
  <c r="B37" i="1"/>
  <c r="A37" i="1"/>
  <c r="E36" i="1"/>
  <c r="D36" i="1"/>
  <c r="C36" i="1"/>
  <c r="B36" i="1"/>
  <c r="A36" i="1"/>
  <c r="D35" i="1"/>
  <c r="C35" i="1"/>
  <c r="A35" i="1"/>
  <c r="E34" i="1"/>
  <c r="D34" i="1"/>
  <c r="C34" i="1"/>
  <c r="B34" i="1"/>
  <c r="A34" i="1"/>
  <c r="E33" i="1"/>
  <c r="D33" i="1"/>
  <c r="C33" i="1"/>
  <c r="B33" i="1"/>
  <c r="A33" i="1"/>
  <c r="E32" i="1"/>
  <c r="D32" i="1"/>
  <c r="C32" i="1"/>
  <c r="B32" i="1"/>
  <c r="A32" i="1"/>
  <c r="E31" i="1"/>
  <c r="D31" i="1"/>
  <c r="C31" i="1"/>
  <c r="B31" i="1"/>
  <c r="A31" i="1"/>
  <c r="E30" i="1"/>
  <c r="D30" i="1"/>
  <c r="C30" i="1"/>
  <c r="B30" i="1"/>
  <c r="A30" i="1"/>
  <c r="D29" i="1"/>
  <c r="C29" i="1"/>
  <c r="A29" i="1"/>
  <c r="E28" i="1"/>
  <c r="D28" i="1"/>
  <c r="C28" i="1"/>
  <c r="B28" i="1"/>
  <c r="A28" i="1"/>
  <c r="E27" i="1"/>
  <c r="D27" i="1"/>
  <c r="C27" i="1"/>
  <c r="B27" i="1"/>
  <c r="A27" i="1"/>
  <c r="E26" i="1"/>
  <c r="D26" i="1"/>
  <c r="C26" i="1"/>
  <c r="B26" i="1"/>
  <c r="A26" i="1"/>
  <c r="E25" i="1"/>
  <c r="D25" i="1"/>
  <c r="C25" i="1"/>
  <c r="B25" i="1"/>
  <c r="A25" i="1"/>
  <c r="E24" i="1"/>
  <c r="D24" i="1"/>
  <c r="C24" i="1"/>
  <c r="B24" i="1"/>
  <c r="A24" i="1"/>
  <c r="D23" i="1"/>
  <c r="C23" i="1"/>
  <c r="A23" i="1"/>
  <c r="E22" i="1"/>
  <c r="D22" i="1"/>
  <c r="C22" i="1"/>
  <c r="B22" i="1"/>
  <c r="A22" i="1"/>
  <c r="E21" i="1"/>
  <c r="D21" i="1"/>
  <c r="C21" i="1"/>
  <c r="B21" i="1"/>
  <c r="A21" i="1"/>
  <c r="E20" i="1"/>
  <c r="D20" i="1"/>
  <c r="C20" i="1"/>
  <c r="B20" i="1"/>
  <c r="A20" i="1"/>
  <c r="E19" i="1"/>
  <c r="D19" i="1"/>
  <c r="C19" i="1"/>
  <c r="B19" i="1"/>
  <c r="A19" i="1"/>
  <c r="D18" i="1"/>
  <c r="C18" i="1"/>
  <c r="A18" i="1"/>
  <c r="E17" i="1"/>
  <c r="D17" i="1"/>
  <c r="C17" i="1"/>
  <c r="B17" i="1"/>
  <c r="A17" i="1"/>
  <c r="E16" i="1"/>
  <c r="D16" i="1"/>
  <c r="C16" i="1"/>
  <c r="B16" i="1"/>
  <c r="A16" i="1"/>
  <c r="E15" i="1"/>
  <c r="D15" i="1"/>
  <c r="C15" i="1"/>
  <c r="B15" i="1"/>
  <c r="A15" i="1"/>
  <c r="E14" i="1"/>
  <c r="D14" i="1"/>
  <c r="C14" i="1"/>
  <c r="B14" i="1"/>
  <c r="A14" i="1"/>
  <c r="E13" i="1"/>
  <c r="D13" i="1"/>
  <c r="C13" i="1"/>
  <c r="B13" i="1"/>
  <c r="A13" i="1"/>
  <c r="D12" i="1"/>
  <c r="C12" i="1"/>
  <c r="A12" i="1"/>
  <c r="E11" i="1"/>
  <c r="D11" i="1"/>
  <c r="C11" i="1"/>
  <c r="B11" i="1"/>
  <c r="A11" i="1"/>
  <c r="E10" i="1"/>
  <c r="D10" i="1"/>
  <c r="C10" i="1"/>
  <c r="B10" i="1"/>
  <c r="A10" i="1"/>
  <c r="E9" i="1"/>
  <c r="D9" i="1"/>
  <c r="C9" i="1"/>
  <c r="B9" i="1"/>
  <c r="A9" i="1"/>
  <c r="E8" i="1"/>
  <c r="D8" i="1"/>
  <c r="C8" i="1"/>
  <c r="B8" i="1"/>
  <c r="A8" i="1"/>
  <c r="D7" i="1"/>
  <c r="C7" i="1"/>
  <c r="A7" i="1"/>
  <c r="E6" i="1"/>
  <c r="D6" i="1"/>
  <c r="C6" i="1"/>
  <c r="B6" i="1"/>
  <c r="A6" i="1"/>
  <c r="E5" i="1"/>
  <c r="D5" i="1"/>
  <c r="C5" i="1"/>
  <c r="B5" i="1"/>
  <c r="A5" i="1"/>
  <c r="E4" i="1"/>
  <c r="D4" i="1"/>
  <c r="C4" i="1"/>
  <c r="B4" i="1"/>
  <c r="A4" i="1"/>
  <c r="E3" i="1"/>
  <c r="D3" i="1"/>
  <c r="C3" i="1"/>
  <c r="B3" i="1"/>
  <c r="A3" i="1"/>
  <c r="E2" i="1"/>
  <c r="D2" i="1"/>
  <c r="C2" i="1"/>
  <c r="B2" i="1"/>
  <c r="A2" i="1"/>
  <c r="D1" i="1"/>
  <c r="C1" i="1"/>
  <c r="A1" i="1"/>
</calcChain>
</file>

<file path=xl/sharedStrings.xml><?xml version="1.0" encoding="utf-8"?>
<sst xmlns="http://schemas.openxmlformats.org/spreadsheetml/2006/main" count="11" uniqueCount="5">
  <si>
    <t>NH</t>
  </si>
  <si>
    <t>Tristan Koyuncu</t>
  </si>
  <si>
    <t>KUHAC</t>
  </si>
  <si>
    <t>NM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</si>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</sst>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0.0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2" fillId="2" borderId="0" xfId="0" applyFont="1" applyFill="1"/>
    <xf numFmtId="165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53"/>
  <sheetViews>
    <sheetView tabSelected="1" workbookViewId="0">
      <selection activeCell="A92" sqref="A92"/>
    </sheetView>
  </sheetViews>
  <sheetFormatPr defaultColWidth="12.5703125" defaultRowHeight="15.75" customHeight="1" x14ac:dyDescent="0.2"/>
  <cols>
    <col min="1" max="1" width="17.7109375" customWidth="1"/>
    <col min="2" max="2" width="23.140625" customWidth="1"/>
    <col min="3" max="3" width="25.42578125" customWidth="1"/>
    <col min="4" max="4" width="22.85546875" customWidth="1"/>
  </cols>
  <sheetData>
    <row r="1" spans="1:6" x14ac:dyDescent="0.2">
      <c r="A1" s="3" t="str">
        <f ca="1">IFERROR(__xludf.DUMMYFUNCTION("IMPORTRANGE(""https://docs.google.com/spreadsheets/d/1Dgj6UrGlVYaeX1OFhN5ByPEYE858phCdQfy3gvdUPoI/edit?gid=1198382998#gid=1198382998"",""'Results to Po10'!A1:F555"")"),"U12 Girls 70m Hurdles A Race")</f>
        <v>U12 Girls 70m Hurdles A Race</v>
      </c>
      <c r="B1" s="3"/>
      <c r="C1" s="3" t="str">
        <f ca="1">IFERROR(__xludf.DUMMYFUNCTION("""COMPUTED_VALUE"""),"Wind speed")</f>
        <v>Wind speed</v>
      </c>
      <c r="D1" s="3">
        <f ca="1">IFERROR(__xludf.DUMMYFUNCTION("""COMPUTED_VALUE"""),-3.5)</f>
        <v>-3.5</v>
      </c>
      <c r="E1" s="3"/>
      <c r="F1" s="1"/>
    </row>
    <row r="2" spans="1:6" x14ac:dyDescent="0.2">
      <c r="A2" s="1">
        <f ca="1">IFERROR(__xludf.DUMMYFUNCTION("""COMPUTED_VALUE"""),530)</f>
        <v>530</v>
      </c>
      <c r="B2" s="1" t="str">
        <f ca="1">IFERROR(__xludf.DUMMYFUNCTION("""COMPUTED_VALUE"""),"Emily")</f>
        <v>Emily</v>
      </c>
      <c r="C2" s="1" t="str">
        <f ca="1">IFERROR(__xludf.DUMMYFUNCTION("""COMPUTED_VALUE"""),"Coote")</f>
        <v>Coote</v>
      </c>
      <c r="D2" s="1" t="str">
        <f ca="1">IFERROR(__xludf.DUMMYFUNCTION("""COMPUTED_VALUE"""),"City of Sheffield")</f>
        <v>City of Sheffield</v>
      </c>
      <c r="E2" s="4">
        <f ca="1">IFERROR(__xludf.DUMMYFUNCTION("""COMPUTED_VALUE"""),12.31)</f>
        <v>12.31</v>
      </c>
      <c r="F2" s="1"/>
    </row>
    <row r="3" spans="1:6" x14ac:dyDescent="0.2">
      <c r="A3" s="1">
        <f ca="1">IFERROR(__xludf.DUMMYFUNCTION("""COMPUTED_VALUE"""),138)</f>
        <v>138</v>
      </c>
      <c r="B3" s="1" t="str">
        <f ca="1">IFERROR(__xludf.DUMMYFUNCTION("""COMPUTED_VALUE"""),"Heidi")</f>
        <v>Heidi</v>
      </c>
      <c r="C3" s="1" t="str">
        <f ca="1">IFERROR(__xludf.DUMMYFUNCTION("""COMPUTED_VALUE"""),"Warden")</f>
        <v>Warden</v>
      </c>
      <c r="D3" s="1" t="str">
        <f ca="1">IFERROR(__xludf.DUMMYFUNCTION("""COMPUTED_VALUE"""),"KUHAC")</f>
        <v>KUHAC</v>
      </c>
      <c r="E3" s="4">
        <f ca="1">IFERROR(__xludf.DUMMYFUNCTION("""COMPUTED_VALUE"""),12.95)</f>
        <v>12.95</v>
      </c>
      <c r="F3" s="1"/>
    </row>
    <row r="4" spans="1:6" x14ac:dyDescent="0.2">
      <c r="A4" s="1">
        <f ca="1">IFERROR(__xludf.DUMMYFUNCTION("""COMPUTED_VALUE"""),431)</f>
        <v>431</v>
      </c>
      <c r="B4" s="1" t="str">
        <f ca="1">IFERROR(__xludf.DUMMYFUNCTION("""COMPUTED_VALUE"""),"Freya")</f>
        <v>Freya</v>
      </c>
      <c r="C4" s="1" t="str">
        <f ca="1">IFERROR(__xludf.DUMMYFUNCTION("""COMPUTED_VALUE"""),"Jennings")</f>
        <v>Jennings</v>
      </c>
      <c r="D4" s="1" t="str">
        <f ca="1">IFERROR(__xludf.DUMMYFUNCTION("""COMPUTED_VALUE"""),"Rushcliffe")</f>
        <v>Rushcliffe</v>
      </c>
      <c r="E4" s="4">
        <f ca="1">IFERROR(__xludf.DUMMYFUNCTION("""COMPUTED_VALUE"""),13.5)</f>
        <v>13.5</v>
      </c>
      <c r="F4" s="1"/>
    </row>
    <row r="5" spans="1:6" x14ac:dyDescent="0.2">
      <c r="A5" s="1">
        <f ca="1">IFERROR(__xludf.DUMMYFUNCTION("""COMPUTED_VALUE"""),332)</f>
        <v>332</v>
      </c>
      <c r="B5" s="1" t="str">
        <f ca="1">IFERROR(__xludf.DUMMYFUNCTION("""COMPUTED_VALUE"""),"Connie")</f>
        <v>Connie</v>
      </c>
      <c r="C5" s="1" t="str">
        <f ca="1">IFERROR(__xludf.DUMMYFUNCTION("""COMPUTED_VALUE"""),"Waterson")</f>
        <v>Waterson</v>
      </c>
      <c r="D5" s="1" t="str">
        <f ca="1">IFERROR(__xludf.DUMMYFUNCTION("""COMPUTED_VALUE"""),"B&amp;DAC")</f>
        <v>B&amp;DAC</v>
      </c>
      <c r="E5" s="4">
        <f ca="1">IFERROR(__xludf.DUMMYFUNCTION("""COMPUTED_VALUE"""),16.25)</f>
        <v>16.25</v>
      </c>
      <c r="F5" s="1"/>
    </row>
    <row r="6" spans="1:6" x14ac:dyDescent="0.2">
      <c r="A6" s="1">
        <f ca="1">IFERROR(__xludf.DUMMYFUNCTION("""COMPUTED_VALUE"""),32)</f>
        <v>32</v>
      </c>
      <c r="B6" s="1" t="str">
        <f ca="1">IFERROR(__xludf.DUMMYFUNCTION("""COMPUTED_VALUE"""),"April")</f>
        <v>April</v>
      </c>
      <c r="C6" s="1" t="str">
        <f ca="1">IFERROR(__xludf.DUMMYFUNCTION("""COMPUTED_VALUE"""),"Malone")</f>
        <v>Malone</v>
      </c>
      <c r="D6" s="1" t="str">
        <f ca="1">IFERROR(__xludf.DUMMYFUNCTION("""COMPUTED_VALUE"""),"AVEAC")</f>
        <v>AVEAC</v>
      </c>
      <c r="E6" s="4">
        <f ca="1">IFERROR(__xludf.DUMMYFUNCTION("""COMPUTED_VALUE"""),16.89)</f>
        <v>16.89</v>
      </c>
      <c r="F6" s="1"/>
    </row>
    <row r="7" spans="1:6" x14ac:dyDescent="0.2">
      <c r="A7" s="3" t="str">
        <f ca="1">IFERROR(__xludf.DUMMYFUNCTION("""COMPUTED_VALUE"""),"U12 Girls 70m Hurdles B Race")</f>
        <v>U12 Girls 70m Hurdles B Race</v>
      </c>
      <c r="B7" s="3"/>
      <c r="C7" s="3" t="str">
        <f ca="1">IFERROR(__xludf.DUMMYFUNCTION("""COMPUTED_VALUE"""),"Wind speed")</f>
        <v>Wind speed</v>
      </c>
      <c r="D7" s="3">
        <f ca="1">IFERROR(__xludf.DUMMYFUNCTION("""COMPUTED_VALUE"""),-2.8)</f>
        <v>-2.8</v>
      </c>
      <c r="E7" s="3"/>
      <c r="F7" s="1"/>
    </row>
    <row r="8" spans="1:6" x14ac:dyDescent="0.2">
      <c r="A8" s="1">
        <f ca="1">IFERROR(__xludf.DUMMYFUNCTION("""COMPUTED_VALUE"""),526)</f>
        <v>526</v>
      </c>
      <c r="B8" s="1" t="str">
        <f ca="1">IFERROR(__xludf.DUMMYFUNCTION("""COMPUTED_VALUE"""),"Destiny Chikamso")</f>
        <v>Destiny Chikamso</v>
      </c>
      <c r="C8" s="1" t="str">
        <f ca="1">IFERROR(__xludf.DUMMYFUNCTION("""COMPUTED_VALUE"""),"Nwagwu")</f>
        <v>Nwagwu</v>
      </c>
      <c r="D8" s="1" t="str">
        <f ca="1">IFERROR(__xludf.DUMMYFUNCTION("""COMPUTED_VALUE"""),"Hallamshire")</f>
        <v>Hallamshire</v>
      </c>
      <c r="E8" s="4">
        <f ca="1">IFERROR(__xludf.DUMMYFUNCTION("""COMPUTED_VALUE"""),13.85)</f>
        <v>13.85</v>
      </c>
      <c r="F8" s="1"/>
    </row>
    <row r="9" spans="1:6" x14ac:dyDescent="0.2">
      <c r="A9" s="1">
        <f ca="1">IFERROR(__xludf.DUMMYFUNCTION("""COMPUTED_VALUE"""),435)</f>
        <v>435</v>
      </c>
      <c r="B9" s="1" t="str">
        <f ca="1">IFERROR(__xludf.DUMMYFUNCTION("""COMPUTED_VALUE"""),"Willow")</f>
        <v>Willow</v>
      </c>
      <c r="C9" s="1" t="str">
        <f ca="1">IFERROR(__xludf.DUMMYFUNCTION("""COMPUTED_VALUE"""),"Wright")</f>
        <v>Wright</v>
      </c>
      <c r="D9" s="1" t="str">
        <f ca="1">IFERROR(__xludf.DUMMYFUNCTION("""COMPUTED_VALUE"""),"Sutton")</f>
        <v>Sutton</v>
      </c>
      <c r="E9" s="4">
        <f ca="1">IFERROR(__xludf.DUMMYFUNCTION("""COMPUTED_VALUE"""),14.89)</f>
        <v>14.89</v>
      </c>
      <c r="F9" s="1"/>
    </row>
    <row r="10" spans="1:6" x14ac:dyDescent="0.2">
      <c r="A10" s="1">
        <f ca="1">IFERROR(__xludf.DUMMYFUNCTION("""COMPUTED_VALUE"""),139)</f>
        <v>139</v>
      </c>
      <c r="B10" s="1" t="str">
        <f ca="1">IFERROR(__xludf.DUMMYFUNCTION("""COMPUTED_VALUE"""),"Reeva")</f>
        <v>Reeva</v>
      </c>
      <c r="C10" s="1" t="str">
        <f ca="1">IFERROR(__xludf.DUMMYFUNCTION("""COMPUTED_VALUE"""),"Fenwick")</f>
        <v>Fenwick</v>
      </c>
      <c r="D10" s="1" t="str">
        <f ca="1">IFERROR(__xludf.DUMMYFUNCTION("""COMPUTED_VALUE"""),"KUHAC")</f>
        <v>KUHAC</v>
      </c>
      <c r="E10" s="4">
        <f ca="1">IFERROR(__xludf.DUMMYFUNCTION("""COMPUTED_VALUE"""),15.5)</f>
        <v>15.5</v>
      </c>
      <c r="F10" s="1"/>
    </row>
    <row r="11" spans="1:6" x14ac:dyDescent="0.2">
      <c r="A11" s="1">
        <f ca="1">IFERROR(__xludf.DUMMYFUNCTION("""COMPUTED_VALUE"""),331)</f>
        <v>331</v>
      </c>
      <c r="B11" s="1" t="str">
        <f ca="1">IFERROR(__xludf.DUMMYFUNCTION("""COMPUTED_VALUE"""),"Poppy")</f>
        <v>Poppy</v>
      </c>
      <c r="C11" s="1" t="str">
        <f ca="1">IFERROR(__xludf.DUMMYFUNCTION("""COMPUTED_VALUE"""),"Johnson")</f>
        <v>Johnson</v>
      </c>
      <c r="D11" s="1" t="str">
        <f ca="1">IFERROR(__xludf.DUMMYFUNCTION("""COMPUTED_VALUE"""),"LWAC")</f>
        <v>LWAC</v>
      </c>
      <c r="E11" s="4">
        <f ca="1">IFERROR(__xludf.DUMMYFUNCTION("""COMPUTED_VALUE"""),18.07)</f>
        <v>18.07</v>
      </c>
      <c r="F11" s="1"/>
    </row>
    <row r="12" spans="1:6" x14ac:dyDescent="0.2">
      <c r="A12" s="3" t="str">
        <f ca="1">IFERROR(__xludf.DUMMYFUNCTION("""COMPUTED_VALUE"""),"U12 Boys 75m Hurdles A Race")</f>
        <v>U12 Boys 75m Hurdles A Race</v>
      </c>
      <c r="B12" s="3"/>
      <c r="C12" s="3" t="str">
        <f ca="1">IFERROR(__xludf.DUMMYFUNCTION("""COMPUTED_VALUE"""),"Wind speed")</f>
        <v>Wind speed</v>
      </c>
      <c r="D12" s="3">
        <f ca="1">IFERROR(__xludf.DUMMYFUNCTION("""COMPUTED_VALUE"""),-4.7)</f>
        <v>-4.7</v>
      </c>
      <c r="E12" s="3"/>
      <c r="F12" s="1"/>
    </row>
    <row r="13" spans="1:6" x14ac:dyDescent="0.2">
      <c r="A13" s="1">
        <f ca="1">IFERROR(__xludf.DUMMYFUNCTION("""COMPUTED_VALUE"""),404)</f>
        <v>404</v>
      </c>
      <c r="B13" s="1" t="str">
        <f ca="1">IFERROR(__xludf.DUMMYFUNCTION("""COMPUTED_VALUE"""),"George")</f>
        <v>George</v>
      </c>
      <c r="C13" s="1" t="str">
        <f ca="1">IFERROR(__xludf.DUMMYFUNCTION("""COMPUTED_VALUE"""),"North")</f>
        <v>North</v>
      </c>
      <c r="D13" s="1" t="str">
        <f ca="1">IFERROR(__xludf.DUMMYFUNCTION("""COMPUTED_VALUE"""),"Worksop")</f>
        <v>Worksop</v>
      </c>
      <c r="E13" s="4">
        <f ca="1">IFERROR(__xludf.DUMMYFUNCTION("""COMPUTED_VALUE"""),14.72)</f>
        <v>14.72</v>
      </c>
      <c r="F13" s="1"/>
    </row>
    <row r="14" spans="1:6" x14ac:dyDescent="0.2">
      <c r="A14" s="1">
        <f ca="1">IFERROR(__xludf.DUMMYFUNCTION("""COMPUTED_VALUE"""),105)</f>
        <v>105</v>
      </c>
      <c r="B14" s="1" t="str">
        <f ca="1">IFERROR(__xludf.DUMMYFUNCTION("""COMPUTED_VALUE"""),"William")</f>
        <v>William</v>
      </c>
      <c r="C14" s="1" t="str">
        <f ca="1">IFERROR(__xludf.DUMMYFUNCTION("""COMPUTED_VALUE"""),"Obiefuna")</f>
        <v>Obiefuna</v>
      </c>
      <c r="D14" s="1" t="str">
        <f ca="1">IFERROR(__xludf.DUMMYFUNCTION("""COMPUTED_VALUE"""),"KUHAC")</f>
        <v>KUHAC</v>
      </c>
      <c r="E14" s="4">
        <f ca="1">IFERROR(__xludf.DUMMYFUNCTION("""COMPUTED_VALUE"""),15.42)</f>
        <v>15.42</v>
      </c>
      <c r="F14" s="1"/>
    </row>
    <row r="15" spans="1:6" x14ac:dyDescent="0.2">
      <c r="A15" s="1">
        <f ca="1">IFERROR(__xludf.DUMMYFUNCTION("""COMPUTED_VALUE"""),505)</f>
        <v>505</v>
      </c>
      <c r="B15" s="1" t="str">
        <f ca="1">IFERROR(__xludf.DUMMYFUNCTION("""COMPUTED_VALUE"""),"Felix")</f>
        <v>Felix</v>
      </c>
      <c r="C15" s="1" t="str">
        <f ca="1">IFERROR(__xludf.DUMMYFUNCTION("""COMPUTED_VALUE"""),"Bancroft")</f>
        <v>Bancroft</v>
      </c>
      <c r="D15" s="1" t="str">
        <f ca="1">IFERROR(__xludf.DUMMYFUNCTION("""COMPUTED_VALUE"""),"Hallamshire")</f>
        <v>Hallamshire</v>
      </c>
      <c r="E15" s="4">
        <f ca="1">IFERROR(__xludf.DUMMYFUNCTION("""COMPUTED_VALUE"""),15.92)</f>
        <v>15.92</v>
      </c>
      <c r="F15" s="1"/>
    </row>
    <row r="16" spans="1:6" x14ac:dyDescent="0.2">
      <c r="A16" s="1">
        <f ca="1">IFERROR(__xludf.DUMMYFUNCTION("""COMPUTED_VALUE"""),306)</f>
        <v>306</v>
      </c>
      <c r="B16" s="1" t="str">
        <f ca="1">IFERROR(__xludf.DUMMYFUNCTION("""COMPUTED_VALUE"""),"John")</f>
        <v>John</v>
      </c>
      <c r="C16" s="1" t="str">
        <f ca="1">IFERROR(__xludf.DUMMYFUNCTION("""COMPUTED_VALUE"""),"Maycock")</f>
        <v>Maycock</v>
      </c>
      <c r="D16" s="1" t="str">
        <f ca="1">IFERROR(__xludf.DUMMYFUNCTION("""COMPUTED_VALUE"""),"BDAC")</f>
        <v>BDAC</v>
      </c>
      <c r="E16" s="4">
        <f ca="1">IFERROR(__xludf.DUMMYFUNCTION("""COMPUTED_VALUE"""),19.29)</f>
        <v>19.29</v>
      </c>
      <c r="F16" s="1"/>
    </row>
    <row r="17" spans="1:6" x14ac:dyDescent="0.2">
      <c r="A17" s="1">
        <f ca="1">IFERROR(__xludf.DUMMYFUNCTION("""COMPUTED_VALUE"""),4)</f>
        <v>4</v>
      </c>
      <c r="B17" s="1" t="str">
        <f ca="1">IFERROR(__xludf.DUMMYFUNCTION("""COMPUTED_VALUE"""),"Frankie")</f>
        <v>Frankie</v>
      </c>
      <c r="C17" s="1" t="str">
        <f ca="1">IFERROR(__xludf.DUMMYFUNCTION("""COMPUTED_VALUE"""),"Osborne")</f>
        <v>Osborne</v>
      </c>
      <c r="D17" s="1" t="str">
        <f ca="1">IFERROR(__xludf.DUMMYFUNCTION("""COMPUTED_VALUE"""),"High Peak AC")</f>
        <v>High Peak AC</v>
      </c>
      <c r="E17" s="4">
        <f ca="1">IFERROR(__xludf.DUMMYFUNCTION("""COMPUTED_VALUE"""),19.34)</f>
        <v>19.34</v>
      </c>
      <c r="F17" s="1"/>
    </row>
    <row r="18" spans="1:6" x14ac:dyDescent="0.2">
      <c r="A18" s="3" t="str">
        <f ca="1">IFERROR(__xludf.DUMMYFUNCTION("""COMPUTED_VALUE"""),"U12 Boys 75m Hurdles B Race")</f>
        <v>U12 Boys 75m Hurdles B Race</v>
      </c>
      <c r="B18" s="3"/>
      <c r="C18" s="3" t="str">
        <f ca="1">IFERROR(__xludf.DUMMYFUNCTION("""COMPUTED_VALUE"""),"Wind speed")</f>
        <v>Wind speed</v>
      </c>
      <c r="D18" s="3">
        <f ca="1">IFERROR(__xludf.DUMMYFUNCTION("""COMPUTED_VALUE"""),-4.5)</f>
        <v>-4.5</v>
      </c>
      <c r="E18" s="3"/>
      <c r="F18" s="1"/>
    </row>
    <row r="19" spans="1:6" x14ac:dyDescent="0.2">
      <c r="A19" s="1">
        <f ca="1">IFERROR(__xludf.DUMMYFUNCTION("""COMPUTED_VALUE"""),106)</f>
        <v>106</v>
      </c>
      <c r="B19" s="1" t="str">
        <f ca="1">IFERROR(__xludf.DUMMYFUNCTION("""COMPUTED_VALUE"""),"Harry")</f>
        <v>Harry</v>
      </c>
      <c r="C19" s="1" t="str">
        <f ca="1">IFERROR(__xludf.DUMMYFUNCTION("""COMPUTED_VALUE"""),"Robbins")</f>
        <v>Robbins</v>
      </c>
      <c r="D19" s="1" t="str">
        <f ca="1">IFERROR(__xludf.DUMMYFUNCTION("""COMPUTED_VALUE"""),"Scunthorpe")</f>
        <v>Scunthorpe</v>
      </c>
      <c r="E19" s="4">
        <f ca="1">IFERROR(__xludf.DUMMYFUNCTION("""COMPUTED_VALUE"""),16.02)</f>
        <v>16.02</v>
      </c>
      <c r="F19" s="1"/>
    </row>
    <row r="20" spans="1:6" x14ac:dyDescent="0.2">
      <c r="A20" s="1">
        <f ca="1">IFERROR(__xludf.DUMMYFUNCTION("""COMPUTED_VALUE"""),5)</f>
        <v>5</v>
      </c>
      <c r="B20" s="1" t="str">
        <f ca="1">IFERROR(__xludf.DUMMYFUNCTION("""COMPUTED_VALUE"""),"Elias")</f>
        <v>Elias</v>
      </c>
      <c r="C20" s="1" t="str">
        <f ca="1">IFERROR(__xludf.DUMMYFUNCTION("""COMPUTED_VALUE"""),"Jones")</f>
        <v>Jones</v>
      </c>
      <c r="D20" s="1" t="str">
        <f ca="1">IFERROR(__xludf.DUMMYFUNCTION("""COMPUTED_VALUE"""),"Chesterfield")</f>
        <v>Chesterfield</v>
      </c>
      <c r="E20" s="4">
        <f ca="1">IFERROR(__xludf.DUMMYFUNCTION("""COMPUTED_VALUE"""),16.67)</f>
        <v>16.670000000000002</v>
      </c>
      <c r="F20" s="1"/>
    </row>
    <row r="21" spans="1:6" x14ac:dyDescent="0.2">
      <c r="A21" s="1">
        <f ca="1">IFERROR(__xludf.DUMMYFUNCTION("""COMPUTED_VALUE"""),506)</f>
        <v>506</v>
      </c>
      <c r="B21" s="1" t="str">
        <f ca="1">IFERROR(__xludf.DUMMYFUNCTION("""COMPUTED_VALUE"""),"Thomas")</f>
        <v>Thomas</v>
      </c>
      <c r="C21" s="1" t="str">
        <f ca="1">IFERROR(__xludf.DUMMYFUNCTION("""COMPUTED_VALUE"""),"Hooley")</f>
        <v>Hooley</v>
      </c>
      <c r="D21" s="1" t="str">
        <f ca="1">IFERROR(__xludf.DUMMYFUNCTION("""COMPUTED_VALUE"""),"Hallamshire")</f>
        <v>Hallamshire</v>
      </c>
      <c r="E21" s="4">
        <f ca="1">IFERROR(__xludf.DUMMYFUNCTION("""COMPUTED_VALUE"""),17.72)</f>
        <v>17.72</v>
      </c>
      <c r="F21" s="1"/>
    </row>
    <row r="22" spans="1:6" x14ac:dyDescent="0.2">
      <c r="A22" s="1">
        <f ca="1">IFERROR(__xludf.DUMMYFUNCTION("""COMPUTED_VALUE"""),307)</f>
        <v>307</v>
      </c>
      <c r="B22" s="1" t="str">
        <f ca="1">IFERROR(__xludf.DUMMYFUNCTION("""COMPUTED_VALUE"""),"Oscar")</f>
        <v>Oscar</v>
      </c>
      <c r="C22" s="1" t="str">
        <f ca="1">IFERROR(__xludf.DUMMYFUNCTION("""COMPUTED_VALUE"""),"Drinkwater")</f>
        <v>Drinkwater</v>
      </c>
      <c r="D22" s="1" t="str">
        <f ca="1">IFERROR(__xludf.DUMMYFUNCTION("""COMPUTED_VALUE"""),"Grantham AC")</f>
        <v>Grantham AC</v>
      </c>
      <c r="E22" s="4">
        <f ca="1">IFERROR(__xludf.DUMMYFUNCTION("""COMPUTED_VALUE"""),19.17)</f>
        <v>19.170000000000002</v>
      </c>
      <c r="F22" s="1"/>
    </row>
    <row r="23" spans="1:6" x14ac:dyDescent="0.2">
      <c r="A23" s="3" t="str">
        <f ca="1">IFERROR(__xludf.DUMMYFUNCTION("""COMPUTED_VALUE"""),"U14 Girls 75m Hurdles A Race")</f>
        <v>U14 Girls 75m Hurdles A Race</v>
      </c>
      <c r="B23" s="3"/>
      <c r="C23" s="3" t="str">
        <f ca="1">IFERROR(__xludf.DUMMYFUNCTION("""COMPUTED_VALUE"""),"Wind speed")</f>
        <v>Wind speed</v>
      </c>
      <c r="D23" s="3">
        <f ca="1">IFERROR(__xludf.DUMMYFUNCTION("""COMPUTED_VALUE"""),-3.2)</f>
        <v>-3.2</v>
      </c>
      <c r="E23" s="3"/>
      <c r="F23" s="1"/>
    </row>
    <row r="24" spans="1:6" x14ac:dyDescent="0.2">
      <c r="A24" s="1">
        <f ca="1">IFERROR(__xludf.DUMMYFUNCTION("""COMPUTED_VALUE"""),40)</f>
        <v>40</v>
      </c>
      <c r="B24" s="1" t="str">
        <f ca="1">IFERROR(__xludf.DUMMYFUNCTION("""COMPUTED_VALUE"""),"Jessica")</f>
        <v>Jessica</v>
      </c>
      <c r="C24" s="1" t="str">
        <f ca="1">IFERROR(__xludf.DUMMYFUNCTION("""COMPUTED_VALUE"""),"Sanderson")</f>
        <v>Sanderson</v>
      </c>
      <c r="D24" s="1" t="str">
        <f ca="1">IFERROR(__xludf.DUMMYFUNCTION("""COMPUTED_VALUE"""),"Chesterfield")</f>
        <v>Chesterfield</v>
      </c>
      <c r="E24" s="4">
        <f ca="1">IFERROR(__xludf.DUMMYFUNCTION("""COMPUTED_VALUE"""),12.06)</f>
        <v>12.06</v>
      </c>
      <c r="F24" s="1"/>
    </row>
    <row r="25" spans="1:6" x14ac:dyDescent="0.2">
      <c r="A25" s="1">
        <f ca="1">IFERROR(__xludf.DUMMYFUNCTION("""COMPUTED_VALUE"""),538)</f>
        <v>538</v>
      </c>
      <c r="B25" s="1" t="str">
        <f ca="1">IFERROR(__xludf.DUMMYFUNCTION("""COMPUTED_VALUE"""),"Essie")</f>
        <v>Essie</v>
      </c>
      <c r="C25" s="1" t="str">
        <f ca="1">IFERROR(__xludf.DUMMYFUNCTION("""COMPUTED_VALUE"""),"McGarrigle")</f>
        <v>McGarrigle</v>
      </c>
      <c r="D25" s="1" t="str">
        <f ca="1">IFERROR(__xludf.DUMMYFUNCTION("""COMPUTED_VALUE"""),"Hallamshire")</f>
        <v>Hallamshire</v>
      </c>
      <c r="E25" s="4">
        <f ca="1">IFERROR(__xludf.DUMMYFUNCTION("""COMPUTED_VALUE"""),12.64)</f>
        <v>12.64</v>
      </c>
      <c r="F25" s="1"/>
    </row>
    <row r="26" spans="1:6" x14ac:dyDescent="0.2">
      <c r="A26" s="1">
        <f ca="1">IFERROR(__xludf.DUMMYFUNCTION("""COMPUTED_VALUE"""),142)</f>
        <v>142</v>
      </c>
      <c r="B26" s="1" t="str">
        <f ca="1">IFERROR(__xludf.DUMMYFUNCTION("""COMPUTED_VALUE"""),"Amelie")</f>
        <v>Amelie</v>
      </c>
      <c r="C26" s="1" t="str">
        <f ca="1">IFERROR(__xludf.DUMMYFUNCTION("""COMPUTED_VALUE"""),"Cole")</f>
        <v>Cole</v>
      </c>
      <c r="D26" s="1" t="str">
        <f ca="1">IFERROR(__xludf.DUMMYFUNCTION("""COMPUTED_VALUE"""),"KUHAC")</f>
        <v>KUHAC</v>
      </c>
      <c r="E26" s="4">
        <f ca="1">IFERROR(__xludf.DUMMYFUNCTION("""COMPUTED_VALUE"""),12.72)</f>
        <v>12.72</v>
      </c>
      <c r="F26" s="1"/>
    </row>
    <row r="27" spans="1:6" x14ac:dyDescent="0.2">
      <c r="A27" s="1">
        <f ca="1">IFERROR(__xludf.DUMMYFUNCTION("""COMPUTED_VALUE"""),443)</f>
        <v>443</v>
      </c>
      <c r="B27" s="1" t="str">
        <f ca="1">IFERROR(__xludf.DUMMYFUNCTION("""COMPUTED_VALUE"""),"Scarlett")</f>
        <v>Scarlett</v>
      </c>
      <c r="C27" s="1" t="str">
        <f ca="1">IFERROR(__xludf.DUMMYFUNCTION("""COMPUTED_VALUE"""),"Stoddart")</f>
        <v>Stoddart</v>
      </c>
      <c r="D27" s="1" t="str">
        <f ca="1">IFERROR(__xludf.DUMMYFUNCTION("""COMPUTED_VALUE"""),"Newark")</f>
        <v>Newark</v>
      </c>
      <c r="E27" s="4">
        <f ca="1">IFERROR(__xludf.DUMMYFUNCTION("""COMPUTED_VALUE"""),12.8)</f>
        <v>12.8</v>
      </c>
      <c r="F27" s="1"/>
    </row>
    <row r="28" spans="1:6" x14ac:dyDescent="0.2">
      <c r="A28" s="1">
        <f ca="1">IFERROR(__xludf.DUMMYFUNCTION("""COMPUTED_VALUE"""),337)</f>
        <v>337</v>
      </c>
      <c r="B28" s="1" t="str">
        <f ca="1">IFERROR(__xludf.DUMMYFUNCTION("""COMPUTED_VALUE"""),"Faith")</f>
        <v>Faith</v>
      </c>
      <c r="C28" s="1" t="str">
        <f ca="1">IFERROR(__xludf.DUMMYFUNCTION("""COMPUTED_VALUE"""),"Awosanya")</f>
        <v>Awosanya</v>
      </c>
      <c r="D28" s="1" t="str">
        <f ca="1">IFERROR(__xludf.DUMMYFUNCTION("""COMPUTED_VALUE"""),"LWAC")</f>
        <v>LWAC</v>
      </c>
      <c r="E28" s="4">
        <f ca="1">IFERROR(__xludf.DUMMYFUNCTION("""COMPUTED_VALUE"""),13.34)</f>
        <v>13.34</v>
      </c>
      <c r="F28" s="1"/>
    </row>
    <row r="29" spans="1:6" x14ac:dyDescent="0.2">
      <c r="A29" s="3" t="str">
        <f ca="1">IFERROR(__xludf.DUMMYFUNCTION("""COMPUTED_VALUE"""),"U14 Girls 75m Hurdles B Race")</f>
        <v>U14 Girls 75m Hurdles B Race</v>
      </c>
      <c r="B29" s="3"/>
      <c r="C29" s="3" t="str">
        <f ca="1">IFERROR(__xludf.DUMMYFUNCTION("""COMPUTED_VALUE"""),"Wind speed")</f>
        <v>Wind speed</v>
      </c>
      <c r="D29" s="3">
        <f ca="1">IFERROR(__xludf.DUMMYFUNCTION("""COMPUTED_VALUE"""),-3.6)</f>
        <v>-3.6</v>
      </c>
      <c r="E29" s="3"/>
      <c r="F29" s="1"/>
    </row>
    <row r="30" spans="1:6" x14ac:dyDescent="0.2">
      <c r="A30" s="1">
        <f ca="1">IFERROR(__xludf.DUMMYFUNCTION("""COMPUTED_VALUE"""),444)</f>
        <v>444</v>
      </c>
      <c r="B30" s="1" t="str">
        <f ca="1">IFERROR(__xludf.DUMMYFUNCTION("""COMPUTED_VALUE"""),"Nancy")</f>
        <v>Nancy</v>
      </c>
      <c r="C30" s="1" t="str">
        <f ca="1">IFERROR(__xludf.DUMMYFUNCTION("""COMPUTED_VALUE"""),"Knowles")</f>
        <v>Knowles</v>
      </c>
      <c r="D30" s="1" t="str">
        <f ca="1">IFERROR(__xludf.DUMMYFUNCTION("""COMPUTED_VALUE"""),"Rushcliffe")</f>
        <v>Rushcliffe</v>
      </c>
      <c r="E30" s="4">
        <f ca="1">IFERROR(__xludf.DUMMYFUNCTION("""COMPUTED_VALUE"""),12.99)</f>
        <v>12.99</v>
      </c>
      <c r="F30" s="1"/>
    </row>
    <row r="31" spans="1:6" x14ac:dyDescent="0.2">
      <c r="A31" s="1">
        <f ca="1">IFERROR(__xludf.DUMMYFUNCTION("""COMPUTED_VALUE"""),146)</f>
        <v>146</v>
      </c>
      <c r="B31" s="1" t="str">
        <f ca="1">IFERROR(__xludf.DUMMYFUNCTION("""COMPUTED_VALUE"""),"Arabella")</f>
        <v>Arabella</v>
      </c>
      <c r="C31" s="1" t="str">
        <f ca="1">IFERROR(__xludf.DUMMYFUNCTION("""COMPUTED_VALUE"""),"Hornby")</f>
        <v>Hornby</v>
      </c>
      <c r="D31" s="1" t="str">
        <f ca="1">IFERROR(__xludf.DUMMYFUNCTION("""COMPUTED_VALUE"""),"KUHAC")</f>
        <v>KUHAC</v>
      </c>
      <c r="E31" s="4">
        <f ca="1">IFERROR(__xludf.DUMMYFUNCTION("""COMPUTED_VALUE"""),13)</f>
        <v>13</v>
      </c>
      <c r="F31" s="1"/>
    </row>
    <row r="32" spans="1:6" x14ac:dyDescent="0.2">
      <c r="A32" s="1">
        <f ca="1">IFERROR(__xludf.DUMMYFUNCTION("""COMPUTED_VALUE"""),41)</f>
        <v>41</v>
      </c>
      <c r="B32" s="1" t="str">
        <f ca="1">IFERROR(__xludf.DUMMYFUNCTION("""COMPUTED_VALUE"""),"Francesca")</f>
        <v>Francesca</v>
      </c>
      <c r="C32" s="1" t="str">
        <f ca="1">IFERROR(__xludf.DUMMYFUNCTION("""COMPUTED_VALUE"""),"Mayers")</f>
        <v>Mayers</v>
      </c>
      <c r="D32" s="1" t="str">
        <f ca="1">IFERROR(__xludf.DUMMYFUNCTION("""COMPUTED_VALUE"""),"Chesterfield")</f>
        <v>Chesterfield</v>
      </c>
      <c r="E32" s="4">
        <f ca="1">IFERROR(__xludf.DUMMYFUNCTION("""COMPUTED_VALUE"""),13.14)</f>
        <v>13.14</v>
      </c>
      <c r="F32" s="1"/>
    </row>
    <row r="33" spans="1:6" x14ac:dyDescent="0.2">
      <c r="A33" s="1">
        <f ca="1">IFERROR(__xludf.DUMMYFUNCTION("""COMPUTED_VALUE"""),539)</f>
        <v>539</v>
      </c>
      <c r="B33" s="1" t="str">
        <f ca="1">IFERROR(__xludf.DUMMYFUNCTION("""COMPUTED_VALUE"""),"Ava")</f>
        <v>Ava</v>
      </c>
      <c r="C33" s="1" t="str">
        <f ca="1">IFERROR(__xludf.DUMMYFUNCTION("""COMPUTED_VALUE"""),"O'Driscoll")</f>
        <v>O'Driscoll</v>
      </c>
      <c r="D33" s="1" t="str">
        <f ca="1">IFERROR(__xludf.DUMMYFUNCTION("""COMPUTED_VALUE"""),"Hallamshire")</f>
        <v>Hallamshire</v>
      </c>
      <c r="E33" s="4">
        <f ca="1">IFERROR(__xludf.DUMMYFUNCTION("""COMPUTED_VALUE"""),13.37)</f>
        <v>13.37</v>
      </c>
      <c r="F33" s="1"/>
    </row>
    <row r="34" spans="1:6" x14ac:dyDescent="0.2">
      <c r="A34" s="1">
        <f ca="1">IFERROR(__xludf.DUMMYFUNCTION("""COMPUTED_VALUE"""),338)</f>
        <v>338</v>
      </c>
      <c r="B34" s="1" t="str">
        <f ca="1">IFERROR(__xludf.DUMMYFUNCTION("""COMPUTED_VALUE"""),"Rose")</f>
        <v>Rose</v>
      </c>
      <c r="C34" s="1" t="str">
        <f ca="1">IFERROR(__xludf.DUMMYFUNCTION("""COMPUTED_VALUE"""),"Pell")</f>
        <v>Pell</v>
      </c>
      <c r="D34" s="1" t="str">
        <f ca="1">IFERROR(__xludf.DUMMYFUNCTION("""COMPUTED_VALUE"""),"B&amp;DAC")</f>
        <v>B&amp;DAC</v>
      </c>
      <c r="E34" s="4">
        <f ca="1">IFERROR(__xludf.DUMMYFUNCTION("""COMPUTED_VALUE"""),13.85)</f>
        <v>13.85</v>
      </c>
      <c r="F34" s="1"/>
    </row>
    <row r="35" spans="1:6" x14ac:dyDescent="0.2">
      <c r="A35" s="3" t="str">
        <f ca="1">IFERROR(__xludf.DUMMYFUNCTION("""COMPUTED_VALUE"""),"U14 Boys 80m Hurdles A Race")</f>
        <v>U14 Boys 80m Hurdles A Race</v>
      </c>
      <c r="B35" s="3"/>
      <c r="C35" s="3" t="str">
        <f ca="1">IFERROR(__xludf.DUMMYFUNCTION("""COMPUTED_VALUE"""),"Wind speed")</f>
        <v>Wind speed</v>
      </c>
      <c r="D35" s="3">
        <f ca="1">IFERROR(__xludf.DUMMYFUNCTION("""COMPUTED_VALUE"""),-2.7)</f>
        <v>-2.7</v>
      </c>
      <c r="E35" s="3"/>
      <c r="F35" s="1"/>
    </row>
    <row r="36" spans="1:6" x14ac:dyDescent="0.2">
      <c r="A36" s="1">
        <f ca="1">IFERROR(__xludf.DUMMYFUNCTION("""COMPUTED_VALUE"""),513)</f>
        <v>513</v>
      </c>
      <c r="B36" s="1" t="str">
        <f ca="1">IFERROR(__xludf.DUMMYFUNCTION("""COMPUTED_VALUE"""),"Thomas")</f>
        <v>Thomas</v>
      </c>
      <c r="C36" s="1" t="str">
        <f ca="1">IFERROR(__xludf.DUMMYFUNCTION("""COMPUTED_VALUE"""),"Anderson")</f>
        <v>Anderson</v>
      </c>
      <c r="D36" s="1" t="str">
        <f ca="1">IFERROR(__xludf.DUMMYFUNCTION("""COMPUTED_VALUE"""),"City of Sheffield")</f>
        <v>City of Sheffield</v>
      </c>
      <c r="E36" s="4">
        <f ca="1">IFERROR(__xludf.DUMMYFUNCTION("""COMPUTED_VALUE"""),12.33)</f>
        <v>12.33</v>
      </c>
      <c r="F36" s="1"/>
    </row>
    <row r="37" spans="1:6" x14ac:dyDescent="0.2">
      <c r="A37" s="1">
        <f ca="1">IFERROR(__xludf.DUMMYFUNCTION("""COMPUTED_VALUE"""),11)</f>
        <v>11</v>
      </c>
      <c r="B37" s="1" t="str">
        <f ca="1">IFERROR(__xludf.DUMMYFUNCTION("""COMPUTED_VALUE"""),"Felix")</f>
        <v>Felix</v>
      </c>
      <c r="C37" s="1" t="str">
        <f ca="1">IFERROR(__xludf.DUMMYFUNCTION("""COMPUTED_VALUE"""),"Webber")</f>
        <v>Webber</v>
      </c>
      <c r="D37" s="1" t="str">
        <f ca="1">IFERROR(__xludf.DUMMYFUNCTION("""COMPUTED_VALUE"""),"Derby")</f>
        <v>Derby</v>
      </c>
      <c r="E37" s="4">
        <f ca="1">IFERROR(__xludf.DUMMYFUNCTION("""COMPUTED_VALUE"""),12.59)</f>
        <v>12.59</v>
      </c>
      <c r="F37" s="1"/>
    </row>
    <row r="38" spans="1:6" x14ac:dyDescent="0.2">
      <c r="A38" s="1">
        <f ca="1">IFERROR(__xludf.DUMMYFUNCTION("""COMPUTED_VALUE"""),411)</f>
        <v>411</v>
      </c>
      <c r="B38" s="1" t="str">
        <f ca="1">IFERROR(__xludf.DUMMYFUNCTION("""COMPUTED_VALUE"""),"Toby")</f>
        <v>Toby</v>
      </c>
      <c r="C38" s="1" t="str">
        <f ca="1">IFERROR(__xludf.DUMMYFUNCTION("""COMPUTED_VALUE"""),"Paget")</f>
        <v>Paget</v>
      </c>
      <c r="D38" s="1" t="str">
        <f ca="1">IFERROR(__xludf.DUMMYFUNCTION("""COMPUTED_VALUE"""),"Rushcliffe")</f>
        <v>Rushcliffe</v>
      </c>
      <c r="E38" s="4">
        <f ca="1">IFERROR(__xludf.DUMMYFUNCTION("""COMPUTED_VALUE"""),13.34)</f>
        <v>13.34</v>
      </c>
      <c r="F38" s="1"/>
    </row>
    <row r="39" spans="1:6" x14ac:dyDescent="0.2">
      <c r="A39" s="1">
        <f ca="1">IFERROR(__xludf.DUMMYFUNCTION("""COMPUTED_VALUE"""),115)</f>
        <v>115</v>
      </c>
      <c r="B39" s="1" t="str">
        <f ca="1">IFERROR(__xludf.DUMMYFUNCTION("""COMPUTED_VALUE"""),"Thomas")</f>
        <v>Thomas</v>
      </c>
      <c r="C39" s="1" t="str">
        <f ca="1">IFERROR(__xludf.DUMMYFUNCTION("""COMPUTED_VALUE"""),"Dover")</f>
        <v>Dover</v>
      </c>
      <c r="D39" s="1" t="str">
        <f ca="1">IFERROR(__xludf.DUMMYFUNCTION("""COMPUTED_VALUE"""),"City of York")</f>
        <v>City of York</v>
      </c>
      <c r="E39" s="4">
        <f ca="1">IFERROR(__xludf.DUMMYFUNCTION("""COMPUTED_VALUE"""),13.5)</f>
        <v>13.5</v>
      </c>
      <c r="F39" s="1"/>
    </row>
    <row r="40" spans="1:6" x14ac:dyDescent="0.2">
      <c r="A40" s="1">
        <f ca="1">IFERROR(__xludf.DUMMYFUNCTION("""COMPUTED_VALUE"""),314)</f>
        <v>314</v>
      </c>
      <c r="B40" s="1" t="str">
        <f ca="1">IFERROR(__xludf.DUMMYFUNCTION("""COMPUTED_VALUE"""),"Oliver")</f>
        <v>Oliver</v>
      </c>
      <c r="C40" s="1" t="str">
        <f ca="1">IFERROR(__xludf.DUMMYFUNCTION("""COMPUTED_VALUE"""),"Guiness")</f>
        <v>Guiness</v>
      </c>
      <c r="D40" s="1" t="str">
        <f ca="1">IFERROR(__xludf.DUMMYFUNCTION("""COMPUTED_VALUE"""),"LWAC")</f>
        <v>LWAC</v>
      </c>
      <c r="E40" s="4">
        <f ca="1">IFERROR(__xludf.DUMMYFUNCTION("""COMPUTED_VALUE"""),15.86)</f>
        <v>15.86</v>
      </c>
      <c r="F40" s="1"/>
    </row>
    <row r="41" spans="1:6" x14ac:dyDescent="0.2">
      <c r="A41" s="3" t="str">
        <f ca="1">IFERROR(__xludf.DUMMYFUNCTION("""COMPUTED_VALUE"""),"U14 Boys 80m Hurdles B Race")</f>
        <v>U14 Boys 80m Hurdles B Race</v>
      </c>
      <c r="B41" s="3"/>
      <c r="C41" s="3" t="str">
        <f ca="1">IFERROR(__xludf.DUMMYFUNCTION("""COMPUTED_VALUE"""),"Wind speed")</f>
        <v>Wind speed</v>
      </c>
      <c r="D41" s="3">
        <f ca="1">IFERROR(__xludf.DUMMYFUNCTION("""COMPUTED_VALUE"""),-4.3)</f>
        <v>-4.3</v>
      </c>
      <c r="E41" s="3"/>
      <c r="F41" s="1"/>
    </row>
    <row r="42" spans="1:6" x14ac:dyDescent="0.2">
      <c r="A42" s="1">
        <f ca="1">IFERROR(__xludf.DUMMYFUNCTION("""COMPUTED_VALUE"""),116)</f>
        <v>116</v>
      </c>
      <c r="B42" s="1" t="str">
        <f ca="1">IFERROR(__xludf.DUMMYFUNCTION("""COMPUTED_VALUE"""),"Joshua")</f>
        <v>Joshua</v>
      </c>
      <c r="C42" s="1" t="str">
        <f ca="1">IFERROR(__xludf.DUMMYFUNCTION("""COMPUTED_VALUE"""),"Mendez")</f>
        <v>Mendez</v>
      </c>
      <c r="D42" s="1" t="str">
        <f ca="1">IFERROR(__xludf.DUMMYFUNCTION("""COMPUTED_VALUE"""),"KUHAC")</f>
        <v>KUHAC</v>
      </c>
      <c r="E42" s="4">
        <f ca="1">IFERROR(__xludf.DUMMYFUNCTION("""COMPUTED_VALUE"""),13.66)</f>
        <v>13.66</v>
      </c>
      <c r="F42" s="1"/>
    </row>
    <row r="43" spans="1:6" x14ac:dyDescent="0.2">
      <c r="A43" s="1">
        <f ca="1">IFERROR(__xludf.DUMMYFUNCTION("""COMPUTED_VALUE"""),412)</f>
        <v>412</v>
      </c>
      <c r="B43" s="1" t="str">
        <f ca="1">IFERROR(__xludf.DUMMYFUNCTION("""COMPUTED_VALUE"""),"Cameron")</f>
        <v>Cameron</v>
      </c>
      <c r="C43" s="1" t="str">
        <f ca="1">IFERROR(__xludf.DUMMYFUNCTION("""COMPUTED_VALUE"""),"Fraser")</f>
        <v>Fraser</v>
      </c>
      <c r="D43" s="1" t="str">
        <f ca="1">IFERROR(__xludf.DUMMYFUNCTION("""COMPUTED_VALUE"""),"Notts")</f>
        <v>Notts</v>
      </c>
      <c r="E43" s="4">
        <f ca="1">IFERROR(__xludf.DUMMYFUNCTION("""COMPUTED_VALUE"""),13.91)</f>
        <v>13.91</v>
      </c>
      <c r="F43" s="1"/>
    </row>
    <row r="44" spans="1:6" x14ac:dyDescent="0.2">
      <c r="A44" s="1">
        <f ca="1">IFERROR(__xludf.DUMMYFUNCTION("""COMPUTED_VALUE"""),514)</f>
        <v>514</v>
      </c>
      <c r="B44" s="1" t="str">
        <f ca="1">IFERROR(__xludf.DUMMYFUNCTION("""COMPUTED_VALUE"""),"Joseph")</f>
        <v>Joseph</v>
      </c>
      <c r="C44" s="1" t="str">
        <f ca="1">IFERROR(__xludf.DUMMYFUNCTION("""COMPUTED_VALUE"""),"Dale")</f>
        <v>Dale</v>
      </c>
      <c r="D44" s="1" t="str">
        <f ca="1">IFERROR(__xludf.DUMMYFUNCTION("""COMPUTED_VALUE"""),"City of Sheffield")</f>
        <v>City of Sheffield</v>
      </c>
      <c r="E44" s="4">
        <f ca="1">IFERROR(__xludf.DUMMYFUNCTION("""COMPUTED_VALUE"""),14.24)</f>
        <v>14.24</v>
      </c>
      <c r="F44" s="1"/>
    </row>
    <row r="45" spans="1:6" x14ac:dyDescent="0.2">
      <c r="A45" s="1">
        <f ca="1">IFERROR(__xludf.DUMMYFUNCTION("""COMPUTED_VALUE"""),12)</f>
        <v>12</v>
      </c>
      <c r="B45" s="1" t="str">
        <f ca="1">IFERROR(__xludf.DUMMYFUNCTION("""COMPUTED_VALUE"""),"Edward")</f>
        <v>Edward</v>
      </c>
      <c r="C45" s="1" t="str">
        <f ca="1">IFERROR(__xludf.DUMMYFUNCTION("""COMPUTED_VALUE"""),"Thorpe")</f>
        <v>Thorpe</v>
      </c>
      <c r="D45" s="1" t="str">
        <f ca="1">IFERROR(__xludf.DUMMYFUNCTION("""COMPUTED_VALUE"""),"Chesterfield")</f>
        <v>Chesterfield</v>
      </c>
      <c r="E45" s="4">
        <f ca="1">IFERROR(__xludf.DUMMYFUNCTION("""COMPUTED_VALUE"""),14.29)</f>
        <v>14.29</v>
      </c>
      <c r="F45" s="1"/>
    </row>
    <row r="46" spans="1:6" x14ac:dyDescent="0.2">
      <c r="A46" s="1">
        <f ca="1">IFERROR(__xludf.DUMMYFUNCTION("""COMPUTED_VALUE"""),315)</f>
        <v>315</v>
      </c>
      <c r="B46" s="1" t="str">
        <f ca="1">IFERROR(__xludf.DUMMYFUNCTION("""COMPUTED_VALUE"""),"Edward")</f>
        <v>Edward</v>
      </c>
      <c r="C46" s="1" t="str">
        <f ca="1">IFERROR(__xludf.DUMMYFUNCTION("""COMPUTED_VALUE"""),"Lindsey")</f>
        <v>Lindsey</v>
      </c>
      <c r="D46" s="1" t="str">
        <f ca="1">IFERROR(__xludf.DUMMYFUNCTION("""COMPUTED_VALUE"""),"LWAC")</f>
        <v>LWAC</v>
      </c>
      <c r="E46" s="4">
        <f ca="1">IFERROR(__xludf.DUMMYFUNCTION("""COMPUTED_VALUE"""),17.51)</f>
        <v>17.510000000000002</v>
      </c>
      <c r="F46" s="1"/>
    </row>
    <row r="47" spans="1:6" x14ac:dyDescent="0.2">
      <c r="A47" s="3" t="str">
        <f ca="1">IFERROR(__xludf.DUMMYFUNCTION("""COMPUTED_VALUE"""),"U16 Girls 80m Hurdles A Race")</f>
        <v>U16 Girls 80m Hurdles A Race</v>
      </c>
      <c r="B47" s="3"/>
      <c r="C47" s="3" t="str">
        <f ca="1">IFERROR(__xludf.DUMMYFUNCTION("""COMPUTED_VALUE"""),"Wind speed")</f>
        <v>Wind speed</v>
      </c>
      <c r="D47" s="3">
        <f ca="1">IFERROR(__xludf.DUMMYFUNCTION("""COMPUTED_VALUE"""),-4.5)</f>
        <v>-4.5</v>
      </c>
      <c r="E47" s="3"/>
      <c r="F47" s="1"/>
    </row>
    <row r="48" spans="1:6" x14ac:dyDescent="0.2">
      <c r="A48" s="1">
        <f ca="1">IFERROR(__xludf.DUMMYFUNCTION("""COMPUTED_VALUE"""),542)</f>
        <v>542</v>
      </c>
      <c r="B48" s="1" t="str">
        <f ca="1">IFERROR(__xludf.DUMMYFUNCTION("""COMPUTED_VALUE"""),"Sophie")</f>
        <v>Sophie</v>
      </c>
      <c r="C48" s="1" t="str">
        <f ca="1">IFERROR(__xludf.DUMMYFUNCTION("""COMPUTED_VALUE"""),"Torossian")</f>
        <v>Torossian</v>
      </c>
      <c r="D48" s="1" t="str">
        <f ca="1">IFERROR(__xludf.DUMMYFUNCTION("""COMPUTED_VALUE"""),"City of Sheffield")</f>
        <v>City of Sheffield</v>
      </c>
      <c r="E48" s="4">
        <f ca="1">IFERROR(__xludf.DUMMYFUNCTION("""COMPUTED_VALUE"""),13.04)</f>
        <v>13.04</v>
      </c>
      <c r="F48" s="1"/>
    </row>
    <row r="49" spans="1:6" x14ac:dyDescent="0.2">
      <c r="A49" s="1">
        <f ca="1">IFERROR(__xludf.DUMMYFUNCTION("""COMPUTED_VALUE"""),160)</f>
        <v>160</v>
      </c>
      <c r="B49" s="1" t="str">
        <f ca="1">IFERROR(__xludf.DUMMYFUNCTION("""COMPUTED_VALUE"""),"Daisy Rose")</f>
        <v>Daisy Rose</v>
      </c>
      <c r="C49" s="1" t="str">
        <f ca="1">IFERROR(__xludf.DUMMYFUNCTION("""COMPUTED_VALUE"""),"Agostinho")</f>
        <v>Agostinho</v>
      </c>
      <c r="D49" s="1" t="str">
        <f ca="1">IFERROR(__xludf.DUMMYFUNCTION("""COMPUTED_VALUE"""),"KUHAC")</f>
        <v>KUHAC</v>
      </c>
      <c r="E49" s="4">
        <f ca="1">IFERROR(__xludf.DUMMYFUNCTION("""COMPUTED_VALUE"""),13.61)</f>
        <v>13.61</v>
      </c>
      <c r="F49" s="1"/>
    </row>
    <row r="50" spans="1:6" x14ac:dyDescent="0.2">
      <c r="A50" s="1">
        <f ca="1">IFERROR(__xludf.DUMMYFUNCTION("""COMPUTED_VALUE"""),455)</f>
        <v>455</v>
      </c>
      <c r="B50" s="1" t="str">
        <f ca="1">IFERROR(__xludf.DUMMYFUNCTION("""COMPUTED_VALUE"""),"Summer")</f>
        <v>Summer</v>
      </c>
      <c r="C50" s="1" t="str">
        <f ca="1">IFERROR(__xludf.DUMMYFUNCTION("""COMPUTED_VALUE"""),"Johnson")</f>
        <v>Johnson</v>
      </c>
      <c r="D50" s="1" t="str">
        <f ca="1">IFERROR(__xludf.DUMMYFUNCTION("""COMPUTED_VALUE"""),"Worksop")</f>
        <v>Worksop</v>
      </c>
      <c r="E50" s="4">
        <f ca="1">IFERROR(__xludf.DUMMYFUNCTION("""COMPUTED_VALUE"""),14.35)</f>
        <v>14.35</v>
      </c>
      <c r="F50" s="1"/>
    </row>
    <row r="51" spans="1:6" x14ac:dyDescent="0.2">
      <c r="A51" s="1">
        <f ca="1">IFERROR(__xludf.DUMMYFUNCTION("""COMPUTED_VALUE"""),349)</f>
        <v>349</v>
      </c>
      <c r="B51" s="1" t="str">
        <f ca="1">IFERROR(__xludf.DUMMYFUNCTION("""COMPUTED_VALUE"""),"Olivia")</f>
        <v>Olivia</v>
      </c>
      <c r="C51" s="1" t="str">
        <f ca="1">IFERROR(__xludf.DUMMYFUNCTION("""COMPUTED_VALUE"""),"Lindsay")</f>
        <v>Lindsay</v>
      </c>
      <c r="D51" s="1" t="str">
        <f ca="1">IFERROR(__xludf.DUMMYFUNCTION("""COMPUTED_VALUE"""),"LWAC")</f>
        <v>LWAC</v>
      </c>
      <c r="E51" s="4">
        <f ca="1">IFERROR(__xludf.DUMMYFUNCTION("""COMPUTED_VALUE"""),16.27)</f>
        <v>16.27</v>
      </c>
      <c r="F51" s="1"/>
    </row>
    <row r="52" spans="1:6" x14ac:dyDescent="0.2">
      <c r="A52" s="1">
        <f ca="1">IFERROR(__xludf.DUMMYFUNCTION("""COMPUTED_VALUE"""),53)</f>
        <v>53</v>
      </c>
      <c r="B52" s="1" t="str">
        <f ca="1">IFERROR(__xludf.DUMMYFUNCTION("""COMPUTED_VALUE"""),"Erin")</f>
        <v>Erin</v>
      </c>
      <c r="C52" s="1" t="str">
        <f ca="1">IFERROR(__xludf.DUMMYFUNCTION("""COMPUTED_VALUE"""),"Beresford")</f>
        <v>Beresford</v>
      </c>
      <c r="D52" s="1" t="str">
        <f ca="1">IFERROR(__xludf.DUMMYFUNCTION("""COMPUTED_VALUE"""),"AVEAC")</f>
        <v>AVEAC</v>
      </c>
      <c r="E52" s="4">
        <f ca="1">IFERROR(__xludf.DUMMYFUNCTION("""COMPUTED_VALUE"""),17.77)</f>
        <v>17.77</v>
      </c>
      <c r="F52" s="1"/>
    </row>
    <row r="53" spans="1:6" x14ac:dyDescent="0.2">
      <c r="A53" s="3" t="str">
        <f ca="1">IFERROR(__xludf.DUMMYFUNCTION("""COMPUTED_VALUE"""),"U16 Girls 80m Hurdles B Race")</f>
        <v>U16 Girls 80m Hurdles B Race</v>
      </c>
      <c r="B53" s="3"/>
      <c r="C53" s="3" t="str">
        <f ca="1">IFERROR(__xludf.DUMMYFUNCTION("""COMPUTED_VALUE"""),"Wind speed")</f>
        <v>Wind speed</v>
      </c>
      <c r="D53" s="3">
        <f ca="1">IFERROR(__xludf.DUMMYFUNCTION("""COMPUTED_VALUE"""),-3.5)</f>
        <v>-3.5</v>
      </c>
      <c r="E53" s="3"/>
      <c r="F53" s="1"/>
    </row>
    <row r="54" spans="1:6" x14ac:dyDescent="0.2">
      <c r="A54" s="1">
        <f ca="1">IFERROR(__xludf.DUMMYFUNCTION("""COMPUTED_VALUE"""),548)</f>
        <v>548</v>
      </c>
      <c r="B54" s="1" t="str">
        <f ca="1">IFERROR(__xludf.DUMMYFUNCTION("""COMPUTED_VALUE"""),"Neve")</f>
        <v>Neve</v>
      </c>
      <c r="C54" s="1" t="str">
        <f ca="1">IFERROR(__xludf.DUMMYFUNCTION("""COMPUTED_VALUE"""),"Connelly")</f>
        <v>Connelly</v>
      </c>
      <c r="D54" s="1" t="str">
        <f ca="1">IFERROR(__xludf.DUMMYFUNCTION("""COMPUTED_VALUE"""),"City of Sheffield")</f>
        <v>City of Sheffield</v>
      </c>
      <c r="E54" s="4">
        <f ca="1">IFERROR(__xludf.DUMMYFUNCTION("""COMPUTED_VALUE"""),12.72)</f>
        <v>12.72</v>
      </c>
      <c r="F54" s="1"/>
    </row>
    <row r="55" spans="1:6" x14ac:dyDescent="0.2">
      <c r="A55" s="1">
        <f ca="1">IFERROR(__xludf.DUMMYFUNCTION("""COMPUTED_VALUE"""),54)</f>
        <v>54</v>
      </c>
      <c r="B55" s="1" t="str">
        <f ca="1">IFERROR(__xludf.DUMMYFUNCTION("""COMPUTED_VALUE"""),"Bibi")</f>
        <v>Bibi</v>
      </c>
      <c r="C55" s="1" t="str">
        <f ca="1">IFERROR(__xludf.DUMMYFUNCTION("""COMPUTED_VALUE"""),"Mulholland")</f>
        <v>Mulholland</v>
      </c>
      <c r="D55" s="1" t="str">
        <f ca="1">IFERROR(__xludf.DUMMYFUNCTION("""COMPUTED_VALUE"""),"AVEAC")</f>
        <v>AVEAC</v>
      </c>
      <c r="E55" s="4">
        <f ca="1">IFERROR(__xludf.DUMMYFUNCTION("""COMPUTED_VALUE"""),14.49)</f>
        <v>14.49</v>
      </c>
      <c r="F55" s="1"/>
    </row>
    <row r="56" spans="1:6" x14ac:dyDescent="0.2">
      <c r="A56" s="1">
        <f ca="1">IFERROR(__xludf.DUMMYFUNCTION("""COMPUTED_VALUE"""),456)</f>
        <v>456</v>
      </c>
      <c r="B56" s="1" t="str">
        <f ca="1">IFERROR(__xludf.DUMMYFUNCTION("""COMPUTED_VALUE"""),"Sophie")</f>
        <v>Sophie</v>
      </c>
      <c r="C56" s="1" t="str">
        <f ca="1">IFERROR(__xludf.DUMMYFUNCTION("""COMPUTED_VALUE"""),"Peet")</f>
        <v>Peet</v>
      </c>
      <c r="D56" s="1" t="str">
        <f ca="1">IFERROR(__xludf.DUMMYFUNCTION("""COMPUTED_VALUE"""),"Mansfield")</f>
        <v>Mansfield</v>
      </c>
      <c r="E56" s="4">
        <f ca="1">IFERROR(__xludf.DUMMYFUNCTION("""COMPUTED_VALUE"""),14.56)</f>
        <v>14.56</v>
      </c>
      <c r="F56" s="1"/>
    </row>
    <row r="57" spans="1:6" x14ac:dyDescent="0.2">
      <c r="A57" s="1">
        <f ca="1">IFERROR(__xludf.DUMMYFUNCTION("""COMPUTED_VALUE"""),161)</f>
        <v>161</v>
      </c>
      <c r="B57" s="1" t="str">
        <f ca="1">IFERROR(__xludf.DUMMYFUNCTION("""COMPUTED_VALUE"""),"Lily")</f>
        <v>Lily</v>
      </c>
      <c r="C57" s="1" t="str">
        <f ca="1">IFERROR(__xludf.DUMMYFUNCTION("""COMPUTED_VALUE"""),"Cowling-Gaffney")</f>
        <v>Cowling-Gaffney</v>
      </c>
      <c r="D57" s="1" t="str">
        <f ca="1">IFERROR(__xludf.DUMMYFUNCTION("""COMPUTED_VALUE"""),"Scunthorpe")</f>
        <v>Scunthorpe</v>
      </c>
      <c r="E57" s="4">
        <f ca="1">IFERROR(__xludf.DUMMYFUNCTION("""COMPUTED_VALUE"""),14.57)</f>
        <v>14.57</v>
      </c>
      <c r="F57" s="1"/>
    </row>
    <row r="58" spans="1:6" x14ac:dyDescent="0.2">
      <c r="A58" s="1">
        <f ca="1">IFERROR(__xludf.DUMMYFUNCTION("""COMPUTED_VALUE"""),346)</f>
        <v>346</v>
      </c>
      <c r="B58" s="1" t="str">
        <f ca="1">IFERROR(__xludf.DUMMYFUNCTION("""COMPUTED_VALUE"""),"Letitia")</f>
        <v>Letitia</v>
      </c>
      <c r="C58" s="1" t="str">
        <f ca="1">IFERROR(__xludf.DUMMYFUNCTION("""COMPUTED_VALUE"""),"Arch")</f>
        <v>Arch</v>
      </c>
      <c r="D58" s="1" t="str">
        <f ca="1">IFERROR(__xludf.DUMMYFUNCTION("""COMPUTED_VALUE"""),"PANVAC")</f>
        <v>PANVAC</v>
      </c>
      <c r="E58" s="4">
        <f ca="1">IFERROR(__xludf.DUMMYFUNCTION("""COMPUTED_VALUE"""),17.03)</f>
        <v>17.03</v>
      </c>
      <c r="F58" s="1"/>
    </row>
    <row r="59" spans="1:6" x14ac:dyDescent="0.2">
      <c r="A59" s="3" t="str">
        <f ca="1">IFERROR(__xludf.DUMMYFUNCTION("""COMPUTED_VALUE"""),"U16 Boys 100m Hurdles A Race")</f>
        <v>U16 Boys 100m Hurdles A Race</v>
      </c>
      <c r="B59" s="3"/>
      <c r="C59" s="3" t="str">
        <f ca="1">IFERROR(__xludf.DUMMYFUNCTION("""COMPUTED_VALUE"""),"Wind speed")</f>
        <v>Wind speed</v>
      </c>
      <c r="D59" s="3">
        <f ca="1">IFERROR(__xludf.DUMMYFUNCTION("""COMPUTED_VALUE"""),-2.4)</f>
        <v>-2.4</v>
      </c>
      <c r="E59" s="3"/>
      <c r="F59" s="1"/>
    </row>
    <row r="60" spans="1:6" x14ac:dyDescent="0.2">
      <c r="A60" s="1">
        <f ca="1">IFERROR(__xludf.DUMMYFUNCTION("""COMPUTED_VALUE"""),323)</f>
        <v>323</v>
      </c>
      <c r="B60" s="1" t="str">
        <f ca="1">IFERROR(__xludf.DUMMYFUNCTION("""COMPUTED_VALUE"""),"Bailey")</f>
        <v>Bailey</v>
      </c>
      <c r="C60" s="1" t="str">
        <f ca="1">IFERROR(__xludf.DUMMYFUNCTION("""COMPUTED_VALUE"""),"Smith")</f>
        <v>Smith</v>
      </c>
      <c r="D60" s="1" t="str">
        <f ca="1">IFERROR(__xludf.DUMMYFUNCTION("""COMPUTED_VALUE"""),"Grantham AC")</f>
        <v>Grantham AC</v>
      </c>
      <c r="E60" s="4">
        <f ca="1">IFERROR(__xludf.DUMMYFUNCTION("""COMPUTED_VALUE"""),15.11)</f>
        <v>15.11</v>
      </c>
      <c r="F60" s="1"/>
    </row>
    <row r="61" spans="1:6" x14ac:dyDescent="0.2">
      <c r="A61" s="1">
        <f ca="1">IFERROR(__xludf.DUMMYFUNCTION("""COMPUTED_VALUE"""),523)</f>
        <v>523</v>
      </c>
      <c r="B61" s="1" t="str">
        <f ca="1">IFERROR(__xludf.DUMMYFUNCTION("""COMPUTED_VALUE"""),"Jacob Ellis")</f>
        <v>Jacob Ellis</v>
      </c>
      <c r="C61" s="1" t="str">
        <f ca="1">IFERROR(__xludf.DUMMYFUNCTION("""COMPUTED_VALUE"""),"Baulk")</f>
        <v>Baulk</v>
      </c>
      <c r="D61" s="1" t="str">
        <f ca="1">IFERROR(__xludf.DUMMYFUNCTION("""COMPUTED_VALUE"""),"Doncaster")</f>
        <v>Doncaster</v>
      </c>
      <c r="E61" s="4">
        <f ca="1">IFERROR(__xludf.DUMMYFUNCTION("""COMPUTED_VALUE"""),16.3)</f>
        <v>16.3</v>
      </c>
      <c r="F61" s="1"/>
    </row>
    <row r="62" spans="1:6" x14ac:dyDescent="0.2">
      <c r="A62" s="1">
        <f ca="1">IFERROR(__xludf.DUMMYFUNCTION("""COMPUTED_VALUE"""),424)</f>
        <v>424</v>
      </c>
      <c r="B62" s="1" t="str">
        <f ca="1">IFERROR(__xludf.DUMMYFUNCTION("""COMPUTED_VALUE"""),"Xavier")</f>
        <v>Xavier</v>
      </c>
      <c r="C62" s="1" t="str">
        <f ca="1">IFERROR(__xludf.DUMMYFUNCTION("""COMPUTED_VALUE"""),"Jarosiewicz")</f>
        <v>Jarosiewicz</v>
      </c>
      <c r="D62" s="1" t="str">
        <f ca="1">IFERROR(__xludf.DUMMYFUNCTION("""COMPUTED_VALUE"""),"Notts")</f>
        <v>Notts</v>
      </c>
      <c r="E62" s="4">
        <f ca="1">IFERROR(__xludf.DUMMYFUNCTION("""COMPUTED_VALUE"""),16.76)</f>
        <v>16.760000000000002</v>
      </c>
      <c r="F62" s="1"/>
    </row>
    <row r="63" spans="1:6" x14ac:dyDescent="0.2">
      <c r="A63" s="1">
        <f ca="1">IFERROR(__xludf.DUMMYFUNCTION("""COMPUTED_VALUE"""),127)</f>
        <v>127</v>
      </c>
      <c r="B63" s="1" t="str">
        <f ca="1">IFERROR(__xludf.DUMMYFUNCTION("""COMPUTED_VALUE"""),"Christian")</f>
        <v>Christian</v>
      </c>
      <c r="C63" s="1" t="str">
        <f ca="1">IFERROR(__xludf.DUMMYFUNCTION("""COMPUTED_VALUE"""),"Sithole")</f>
        <v>Sithole</v>
      </c>
      <c r="D63" s="1" t="str">
        <f ca="1">IFERROR(__xludf.DUMMYFUNCTION("""COMPUTED_VALUE"""),"KUHAC")</f>
        <v>KUHAC</v>
      </c>
      <c r="E63" s="4">
        <f ca="1">IFERROR(__xludf.DUMMYFUNCTION("""COMPUTED_VALUE"""),18.46)</f>
        <v>18.46</v>
      </c>
      <c r="F63" s="1"/>
    </row>
    <row r="64" spans="1:6" x14ac:dyDescent="0.2">
      <c r="A64" s="3" t="str">
        <f ca="1">IFERROR(__xludf.DUMMYFUNCTION("""COMPUTED_VALUE"""),"U16 Boys 100m Hurdles B Race")</f>
        <v>U16 Boys 100m Hurdles B Race</v>
      </c>
      <c r="B64" s="3"/>
      <c r="C64" s="3" t="str">
        <f ca="1">IFERROR(__xludf.DUMMYFUNCTION("""COMPUTED_VALUE"""),"Wind speed")</f>
        <v>Wind speed</v>
      </c>
      <c r="D64" s="3">
        <f ca="1">IFERROR(__xludf.DUMMYFUNCTION("""COMPUTED_VALUE"""),-1.3)</f>
        <v>-1.3</v>
      </c>
      <c r="E64" s="3"/>
      <c r="F64" s="1"/>
    </row>
    <row r="65" spans="1:6" x14ac:dyDescent="0.2">
      <c r="A65" s="1">
        <f ca="1">IFERROR(__xludf.DUMMYFUNCTION("""COMPUTED_VALUE"""),421)</f>
        <v>421</v>
      </c>
      <c r="B65" s="1" t="str">
        <f ca="1">IFERROR(__xludf.DUMMYFUNCTION("""COMPUTED_VALUE"""),"Finley")</f>
        <v>Finley</v>
      </c>
      <c r="C65" s="1" t="str">
        <f ca="1">IFERROR(__xludf.DUMMYFUNCTION("""COMPUTED_VALUE"""),"Kemp")</f>
        <v>Kemp</v>
      </c>
      <c r="D65" s="1" t="str">
        <f ca="1">IFERROR(__xludf.DUMMYFUNCTION("""COMPUTED_VALUE"""),"Retford")</f>
        <v>Retford</v>
      </c>
      <c r="E65" s="4">
        <f ca="1">IFERROR(__xludf.DUMMYFUNCTION("""COMPUTED_VALUE"""),16.46)</f>
        <v>16.46</v>
      </c>
      <c r="F65" s="1"/>
    </row>
    <row r="66" spans="1:6" x14ac:dyDescent="0.2">
      <c r="A66" s="1">
        <f ca="1">IFERROR(__xludf.DUMMYFUNCTION("""COMPUTED_VALUE"""),524)</f>
        <v>524</v>
      </c>
      <c r="B66" s="1" t="str">
        <f ca="1">IFERROR(__xludf.DUMMYFUNCTION("""COMPUTED_VALUE"""),"Soren")</f>
        <v>Soren</v>
      </c>
      <c r="C66" s="1" t="str">
        <f ca="1">IFERROR(__xludf.DUMMYFUNCTION("""COMPUTED_VALUE"""),"McSweeney")</f>
        <v>McSweeney</v>
      </c>
      <c r="D66" s="1" t="str">
        <f ca="1">IFERROR(__xludf.DUMMYFUNCTION("""COMPUTED_VALUE"""),"City of Sheffield")</f>
        <v>City of Sheffield</v>
      </c>
      <c r="E66" s="4">
        <f ca="1">IFERROR(__xludf.DUMMYFUNCTION("""COMPUTED_VALUE"""),17.57)</f>
        <v>17.57</v>
      </c>
      <c r="F66" s="1"/>
    </row>
    <row r="67" spans="1:6" x14ac:dyDescent="0.2">
      <c r="A67" s="3" t="str">
        <f ca="1">IFERROR(__xludf.DUMMYFUNCTION("""COMPUTED_VALUE"""),"U14 Boys 1,500m")</f>
        <v>U14 Boys 1,500m</v>
      </c>
      <c r="B67" s="3"/>
      <c r="C67" s="3"/>
      <c r="D67" s="3"/>
      <c r="E67" s="3"/>
      <c r="F67" s="1"/>
    </row>
    <row r="68" spans="1:6" x14ac:dyDescent="0.2">
      <c r="A68" s="1">
        <f ca="1">IFERROR(__xludf.DUMMYFUNCTION("""COMPUTED_VALUE"""),114)</f>
        <v>114</v>
      </c>
      <c r="B68" s="1" t="str">
        <f ca="1">IFERROR(__xludf.DUMMYFUNCTION("""COMPUTED_VALUE"""),"Billy")</f>
        <v>Billy</v>
      </c>
      <c r="C68" s="1" t="str">
        <f ca="1">IFERROR(__xludf.DUMMYFUNCTION("""COMPUTED_VALUE"""),"Marsh")</f>
        <v>Marsh</v>
      </c>
      <c r="D68" s="1" t="str">
        <f ca="1">IFERROR(__xludf.DUMMYFUNCTION("""COMPUTED_VALUE"""),"Scunthorpe")</f>
        <v>Scunthorpe</v>
      </c>
      <c r="E68" s="2">
        <f ca="1">IFERROR(__xludf.DUMMYFUNCTION("""COMPUTED_VALUE"""),0.00324756944444444)</f>
        <v>3.2475694444444401E-3</v>
      </c>
      <c r="F68" s="1"/>
    </row>
    <row r="69" spans="1:6" x14ac:dyDescent="0.2">
      <c r="A69" s="1">
        <f ca="1">IFERROR(__xludf.DUMMYFUNCTION("""COMPUTED_VALUE"""),511)</f>
        <v>511</v>
      </c>
      <c r="B69" s="1" t="str">
        <f ca="1">IFERROR(__xludf.DUMMYFUNCTION("""COMPUTED_VALUE"""),"Bradley")</f>
        <v>Bradley</v>
      </c>
      <c r="C69" s="1" t="str">
        <f ca="1">IFERROR(__xludf.DUMMYFUNCTION("""COMPUTED_VALUE"""),"Cooper")</f>
        <v>Cooper</v>
      </c>
      <c r="D69" s="1" t="str">
        <f ca="1">IFERROR(__xludf.DUMMYFUNCTION("""COMPUTED_VALUE"""),"Rotherham")</f>
        <v>Rotherham</v>
      </c>
      <c r="E69" s="2">
        <f ca="1">IFERROR(__xludf.DUMMYFUNCTION("""COMPUTED_VALUE"""),0.00328587962962962)</f>
        <v>3.2858796296296199E-3</v>
      </c>
      <c r="F69" s="1"/>
    </row>
    <row r="70" spans="1:6" x14ac:dyDescent="0.2">
      <c r="A70" s="1">
        <f ca="1">IFERROR(__xludf.DUMMYFUNCTION("""COMPUTED_VALUE"""),10)</f>
        <v>10</v>
      </c>
      <c r="B70" s="1" t="str">
        <f ca="1">IFERROR(__xludf.DUMMYFUNCTION("""COMPUTED_VALUE"""),"William")</f>
        <v>William</v>
      </c>
      <c r="C70" s="1" t="str">
        <f ca="1">IFERROR(__xludf.DUMMYFUNCTION("""COMPUTED_VALUE"""),"Saunders")</f>
        <v>Saunders</v>
      </c>
      <c r="D70" s="1" t="str">
        <f ca="1">IFERROR(__xludf.DUMMYFUNCTION("""COMPUTED_VALUE"""),"Derby")</f>
        <v>Derby</v>
      </c>
      <c r="E70" s="2">
        <f ca="1">IFERROR(__xludf.DUMMYFUNCTION("""COMPUTED_VALUE"""),0.00329467592592592)</f>
        <v>3.2946759259259201E-3</v>
      </c>
      <c r="F70" s="1"/>
    </row>
    <row r="71" spans="1:6" x14ac:dyDescent="0.2">
      <c r="A71" s="1">
        <f ca="1">IFERROR(__xludf.DUMMYFUNCTION("""COMPUTED_VALUE"""),113)</f>
        <v>113</v>
      </c>
      <c r="B71" s="1" t="str">
        <f ca="1">IFERROR(__xludf.DUMMYFUNCTION("""COMPUTED_VALUE"""),"Nicholas")</f>
        <v>Nicholas</v>
      </c>
      <c r="C71" s="1" t="str">
        <f ca="1">IFERROR(__xludf.DUMMYFUNCTION("""COMPUTED_VALUE"""),"Mullineaux")</f>
        <v>Mullineaux</v>
      </c>
      <c r="D71" s="1" t="str">
        <f ca="1">IFERROR(__xludf.DUMMYFUNCTION("""COMPUTED_VALUE"""),"Barton")</f>
        <v>Barton</v>
      </c>
      <c r="E71" s="2">
        <f ca="1">IFERROR(__xludf.DUMMYFUNCTION("""COMPUTED_VALUE"""),0.00334016203703703)</f>
        <v>3.3401620370370299E-3</v>
      </c>
      <c r="F71" s="1"/>
    </row>
    <row r="72" spans="1:6" x14ac:dyDescent="0.2">
      <c r="A72" s="1">
        <f ca="1">IFERROR(__xludf.DUMMYFUNCTION("""COMPUTED_VALUE"""),512)</f>
        <v>512</v>
      </c>
      <c r="B72" s="1" t="str">
        <f ca="1">IFERROR(__xludf.DUMMYFUNCTION("""COMPUTED_VALUE"""),"Zac")</f>
        <v>Zac</v>
      </c>
      <c r="C72" s="1" t="str">
        <f ca="1">IFERROR(__xludf.DUMMYFUNCTION("""COMPUTED_VALUE"""),"Garratt")</f>
        <v>Garratt</v>
      </c>
      <c r="D72" s="1" t="str">
        <f ca="1">IFERROR(__xludf.DUMMYFUNCTION("""COMPUTED_VALUE"""),"Hallamshire")</f>
        <v>Hallamshire</v>
      </c>
      <c r="E72" s="2">
        <f ca="1">IFERROR(__xludf.DUMMYFUNCTION("""COMPUTED_VALUE"""),0.00336979166666666)</f>
        <v>3.3697916666666598E-3</v>
      </c>
      <c r="F72" s="1"/>
    </row>
    <row r="73" spans="1:6" x14ac:dyDescent="0.2">
      <c r="A73" s="1">
        <f ca="1">IFERROR(__xludf.DUMMYFUNCTION("""COMPUTED_VALUE"""),410)</f>
        <v>410</v>
      </c>
      <c r="B73" s="1" t="str">
        <f ca="1">IFERROR(__xludf.DUMMYFUNCTION("""COMPUTED_VALUE"""),"Max")</f>
        <v>Max</v>
      </c>
      <c r="C73" s="1" t="str">
        <f ca="1">IFERROR(__xludf.DUMMYFUNCTION("""COMPUTED_VALUE"""),"Gallie")</f>
        <v>Gallie</v>
      </c>
      <c r="D73" s="1" t="str">
        <f ca="1">IFERROR(__xludf.DUMMYFUNCTION("""COMPUTED_VALUE"""),"Notts")</f>
        <v>Notts</v>
      </c>
      <c r="E73" s="2">
        <f ca="1">IFERROR(__xludf.DUMMYFUNCTION("""COMPUTED_VALUE"""),0.00338784722222222)</f>
        <v>3.38784722222222E-3</v>
      </c>
      <c r="F73" s="1"/>
    </row>
    <row r="74" spans="1:6" x14ac:dyDescent="0.2">
      <c r="A74" s="1">
        <f ca="1">IFERROR(__xludf.DUMMYFUNCTION("""COMPUTED_VALUE"""),409)</f>
        <v>409</v>
      </c>
      <c r="B74" s="1" t="str">
        <f ca="1">IFERROR(__xludf.DUMMYFUNCTION("""COMPUTED_VALUE"""),"Ollie")</f>
        <v>Ollie</v>
      </c>
      <c r="C74" s="1" t="str">
        <f ca="1">IFERROR(__xludf.DUMMYFUNCTION("""COMPUTED_VALUE"""),"Starbuck")</f>
        <v>Starbuck</v>
      </c>
      <c r="D74" s="1" t="str">
        <f ca="1">IFERROR(__xludf.DUMMYFUNCTION("""COMPUTED_VALUE"""),"Notts")</f>
        <v>Notts</v>
      </c>
      <c r="E74" s="2">
        <f ca="1">IFERROR(__xludf.DUMMYFUNCTION("""COMPUTED_VALUE"""),0.00346157407407407)</f>
        <v>3.46157407407407E-3</v>
      </c>
      <c r="F74" s="1"/>
    </row>
    <row r="75" spans="1:6" x14ac:dyDescent="0.2">
      <c r="A75" s="1">
        <f ca="1">IFERROR(__xludf.DUMMYFUNCTION("""COMPUTED_VALUE"""),8)</f>
        <v>8</v>
      </c>
      <c r="B75" s="1" t="str">
        <f ca="1">IFERROR(__xludf.DUMMYFUNCTION("""COMPUTED_VALUE"""),"Owen")</f>
        <v>Owen</v>
      </c>
      <c r="C75" s="1" t="str">
        <f ca="1">IFERROR(__xludf.DUMMYFUNCTION("""COMPUTED_VALUE"""),"Rawlinson")</f>
        <v>Rawlinson</v>
      </c>
      <c r="D75" s="1" t="str">
        <f ca="1">IFERROR(__xludf.DUMMYFUNCTION("""COMPUTED_VALUE"""),"High Peak AC")</f>
        <v>High Peak AC</v>
      </c>
      <c r="E75" s="2">
        <f ca="1">IFERROR(__xludf.DUMMYFUNCTION("""COMPUTED_VALUE"""),0.00352986111111111)</f>
        <v>3.5298611111111099E-3</v>
      </c>
      <c r="F75" s="1"/>
    </row>
    <row r="76" spans="1:6" x14ac:dyDescent="0.2">
      <c r="A76" s="1">
        <f ca="1">IFERROR(__xludf.DUMMYFUNCTION("""COMPUTED_VALUE"""),312)</f>
        <v>312</v>
      </c>
      <c r="B76" s="1" t="str">
        <f ca="1">IFERROR(__xludf.DUMMYFUNCTION("""COMPUTED_VALUE"""),"Jacob")</f>
        <v>Jacob</v>
      </c>
      <c r="C76" s="1" t="str">
        <f ca="1">IFERROR(__xludf.DUMMYFUNCTION("""COMPUTED_VALUE"""),"Robinson")</f>
        <v>Robinson</v>
      </c>
      <c r="D76" s="1" t="str">
        <f ca="1">IFERROR(__xludf.DUMMYFUNCTION("""COMPUTED_VALUE"""),"LWAC")</f>
        <v>LWAC</v>
      </c>
      <c r="E76" s="2">
        <f ca="1">IFERROR(__xludf.DUMMYFUNCTION("""COMPUTED_VALUE"""),0.00356076388888888)</f>
        <v>3.5607638888888798E-3</v>
      </c>
      <c r="F76" s="1"/>
    </row>
    <row r="77" spans="1:6" x14ac:dyDescent="0.2">
      <c r="A77" s="1">
        <f ca="1">IFERROR(__xludf.DUMMYFUNCTION("""COMPUTED_VALUE"""),313)</f>
        <v>313</v>
      </c>
      <c r="B77" s="1" t="str">
        <f ca="1">IFERROR(__xludf.DUMMYFUNCTION("""COMPUTED_VALUE"""),"Henry")</f>
        <v>Henry</v>
      </c>
      <c r="C77" s="1" t="str">
        <f ca="1">IFERROR(__xludf.DUMMYFUNCTION("""COMPUTED_VALUE"""),"Dolan")</f>
        <v>Dolan</v>
      </c>
      <c r="D77" s="1" t="str">
        <f ca="1">IFERROR(__xludf.DUMMYFUNCTION("""COMPUTED_VALUE"""),"Grantham AC")</f>
        <v>Grantham AC</v>
      </c>
      <c r="E77" s="2">
        <f ca="1">IFERROR(__xludf.DUMMYFUNCTION("""COMPUTED_VALUE"""),0.00357418981481481)</f>
        <v>3.57418981481481E-3</v>
      </c>
      <c r="F77" s="1"/>
    </row>
    <row r="78" spans="1:6" x14ac:dyDescent="0.2">
      <c r="A78" s="3" t="str">
        <f ca="1">IFERROR(__xludf.DUMMYFUNCTION("""COMPUTED_VALUE"""),"U14 Girls 1,500m")</f>
        <v>U14 Girls 1,500m</v>
      </c>
      <c r="B78" s="3"/>
      <c r="C78" s="3"/>
      <c r="D78" s="3"/>
      <c r="E78" s="3"/>
      <c r="F78" s="1"/>
    </row>
    <row r="79" spans="1:6" x14ac:dyDescent="0.2">
      <c r="A79" s="1">
        <f ca="1">IFERROR(__xludf.DUMMYFUNCTION("""COMPUTED_VALUE"""),335)</f>
        <v>335</v>
      </c>
      <c r="B79" s="1" t="str">
        <f ca="1">IFERROR(__xludf.DUMMYFUNCTION("""COMPUTED_VALUE"""),"Holly")</f>
        <v>Holly</v>
      </c>
      <c r="C79" s="1" t="str">
        <f ca="1">IFERROR(__xludf.DUMMYFUNCTION("""COMPUTED_VALUE"""),"Norris")</f>
        <v>Norris</v>
      </c>
      <c r="D79" s="1" t="str">
        <f ca="1">IFERROR(__xludf.DUMMYFUNCTION("""COMPUTED_VALUE"""),"LWAC")</f>
        <v>LWAC</v>
      </c>
      <c r="E79" s="2">
        <f ca="1">IFERROR(__xludf.DUMMYFUNCTION("""COMPUTED_VALUE"""),0.00335497685185185)</f>
        <v>3.3549768518518499E-3</v>
      </c>
      <c r="F79" s="1"/>
    </row>
    <row r="80" spans="1:6" x14ac:dyDescent="0.2">
      <c r="A80" s="1">
        <f ca="1">IFERROR(__xludf.DUMMYFUNCTION("""COMPUTED_VALUE"""),537)</f>
        <v>537</v>
      </c>
      <c r="B80" s="1" t="str">
        <f ca="1">IFERROR(__xludf.DUMMYFUNCTION("""COMPUTED_VALUE"""),"Bella")</f>
        <v>Bella</v>
      </c>
      <c r="C80" s="1" t="str">
        <f ca="1">IFERROR(__xludf.DUMMYFUNCTION("""COMPUTED_VALUE"""),"Minichiello")</f>
        <v>Minichiello</v>
      </c>
      <c r="D80" s="1" t="str">
        <f ca="1">IFERROR(__xludf.DUMMYFUNCTION("""COMPUTED_VALUE"""),"City of Sheffield")</f>
        <v>City of Sheffield</v>
      </c>
      <c r="E80" s="2">
        <f ca="1">IFERROR(__xludf.DUMMYFUNCTION("""COMPUTED_VALUE"""),0.00342280092592592)</f>
        <v>3.4228009259259199E-3</v>
      </c>
      <c r="F80" s="1"/>
    </row>
    <row r="81" spans="1:6" x14ac:dyDescent="0.2">
      <c r="A81" s="1">
        <f ca="1">IFERROR(__xludf.DUMMYFUNCTION("""COMPUTED_VALUE"""),536)</f>
        <v>536</v>
      </c>
      <c r="B81" s="1" t="str">
        <f ca="1">IFERROR(__xludf.DUMMYFUNCTION("""COMPUTED_VALUE"""),"Carlotta")</f>
        <v>Carlotta</v>
      </c>
      <c r="C81" s="1" t="str">
        <f ca="1">IFERROR(__xludf.DUMMYFUNCTION("""COMPUTED_VALUE"""),"Bailey")</f>
        <v>Bailey</v>
      </c>
      <c r="D81" s="1" t="str">
        <f ca="1">IFERROR(__xludf.DUMMYFUNCTION("""COMPUTED_VALUE"""),"Hallamshire")</f>
        <v>Hallamshire</v>
      </c>
      <c r="E81" s="2">
        <f ca="1">IFERROR(__xludf.DUMMYFUNCTION("""COMPUTED_VALUE"""),0.00350416666666666)</f>
        <v>3.5041666666666602E-3</v>
      </c>
      <c r="F81" s="1"/>
    </row>
    <row r="82" spans="1:6" x14ac:dyDescent="0.2">
      <c r="A82" s="1">
        <f ca="1">IFERROR(__xludf.DUMMYFUNCTION("""COMPUTED_VALUE"""),38)</f>
        <v>38</v>
      </c>
      <c r="B82" s="1" t="str">
        <f ca="1">IFERROR(__xludf.DUMMYFUNCTION("""COMPUTED_VALUE"""),"Joyce")</f>
        <v>Joyce</v>
      </c>
      <c r="C82" s="1" t="str">
        <f ca="1">IFERROR(__xludf.DUMMYFUNCTION("""COMPUTED_VALUE"""),"Lenton")</f>
        <v>Lenton</v>
      </c>
      <c r="D82" s="1" t="str">
        <f ca="1">IFERROR(__xludf.DUMMYFUNCTION("""COMPUTED_VALUE"""),"Derby")</f>
        <v>Derby</v>
      </c>
      <c r="E82" s="2">
        <f ca="1">IFERROR(__xludf.DUMMYFUNCTION("""COMPUTED_VALUE"""),0.0035875)</f>
        <v>3.5875E-3</v>
      </c>
      <c r="F82" s="1"/>
    </row>
    <row r="83" spans="1:6" x14ac:dyDescent="0.2">
      <c r="A83" s="1">
        <f ca="1">IFERROR(__xludf.DUMMYFUNCTION("""COMPUTED_VALUE"""),336)</f>
        <v>336</v>
      </c>
      <c r="B83" s="1" t="str">
        <f ca="1">IFERROR(__xludf.DUMMYFUNCTION("""COMPUTED_VALUE"""),"Hannah")</f>
        <v>Hannah</v>
      </c>
      <c r="C83" s="1" t="str">
        <f ca="1">IFERROR(__xludf.DUMMYFUNCTION("""COMPUTED_VALUE"""),"Gossiel")</f>
        <v>Gossiel</v>
      </c>
      <c r="D83" s="1" t="str">
        <f ca="1">IFERROR(__xludf.DUMMYFUNCTION("""COMPUTED_VALUE"""),"LWAC")</f>
        <v>LWAC</v>
      </c>
      <c r="E83" s="2">
        <f ca="1">IFERROR(__xludf.DUMMYFUNCTION("""COMPUTED_VALUE"""),0.0037199074074074)</f>
        <v>3.7199074074074001E-3</v>
      </c>
      <c r="F83" s="1"/>
    </row>
    <row r="84" spans="1:6" x14ac:dyDescent="0.2">
      <c r="A84" s="1">
        <f ca="1">IFERROR(__xludf.DUMMYFUNCTION("""COMPUTED_VALUE"""),442)</f>
        <v>442</v>
      </c>
      <c r="B84" s="1" t="str">
        <f ca="1">IFERROR(__xludf.DUMMYFUNCTION("""COMPUTED_VALUE"""),"Robin")</f>
        <v>Robin</v>
      </c>
      <c r="C84" s="1" t="str">
        <f ca="1">IFERROR(__xludf.DUMMYFUNCTION("""COMPUTED_VALUE"""),"Overbury")</f>
        <v>Overbury</v>
      </c>
      <c r="D84" s="1" t="str">
        <f ca="1">IFERROR(__xludf.DUMMYFUNCTION("""COMPUTED_VALUE"""),"Newark")</f>
        <v>Newark</v>
      </c>
      <c r="E84" s="2">
        <f ca="1">IFERROR(__xludf.DUMMYFUNCTION("""COMPUTED_VALUE"""),0.00374375)</f>
        <v>3.7437500000000001E-3</v>
      </c>
      <c r="F84" s="1"/>
    </row>
    <row r="85" spans="1:6" x14ac:dyDescent="0.2">
      <c r="A85" s="1">
        <f ca="1">IFERROR(__xludf.DUMMYFUNCTION("""COMPUTED_VALUE"""),39)</f>
        <v>39</v>
      </c>
      <c r="B85" s="1" t="str">
        <f ca="1">IFERROR(__xludf.DUMMYFUNCTION("""COMPUTED_VALUE"""),"Lily")</f>
        <v>Lily</v>
      </c>
      <c r="C85" s="1" t="str">
        <f ca="1">IFERROR(__xludf.DUMMYFUNCTION("""COMPUTED_VALUE"""),"Heywood")</f>
        <v>Heywood</v>
      </c>
      <c r="D85" s="1" t="str">
        <f ca="1">IFERROR(__xludf.DUMMYFUNCTION("""COMPUTED_VALUE"""),"High Peak")</f>
        <v>High Peak</v>
      </c>
      <c r="E85" s="2">
        <f ca="1">IFERROR(__xludf.DUMMYFUNCTION("""COMPUTED_VALUE"""),0.00378819444444444)</f>
        <v>3.78819444444444E-3</v>
      </c>
      <c r="F85" s="1"/>
    </row>
    <row r="86" spans="1:6" x14ac:dyDescent="0.2">
      <c r="A86" s="1">
        <f ca="1">IFERROR(__xludf.DUMMYFUNCTION("""COMPUTED_VALUE"""),441)</f>
        <v>441</v>
      </c>
      <c r="B86" s="1" t="str">
        <f ca="1">IFERROR(__xludf.DUMMYFUNCTION("""COMPUTED_VALUE"""),"Scarlett")</f>
        <v>Scarlett</v>
      </c>
      <c r="C86" s="1" t="str">
        <f ca="1">IFERROR(__xludf.DUMMYFUNCTION("""COMPUTED_VALUE"""),"Brumfitt")</f>
        <v>Brumfitt</v>
      </c>
      <c r="D86" s="1" t="str">
        <f ca="1">IFERROR(__xludf.DUMMYFUNCTION("""COMPUTED_VALUE"""),"Mansfield")</f>
        <v>Mansfield</v>
      </c>
      <c r="E86" s="2">
        <f ca="1">IFERROR(__xludf.DUMMYFUNCTION("""COMPUTED_VALUE"""),0.00380555555555555)</f>
        <v>3.8055555555555499E-3</v>
      </c>
      <c r="F86" s="1"/>
    </row>
    <row r="87" spans="1:6" x14ac:dyDescent="0.2">
      <c r="A87" s="1">
        <f ca="1">IFERROR(__xludf.DUMMYFUNCTION("""COMPUTED_VALUE"""),145)</f>
        <v>145</v>
      </c>
      <c r="B87" s="1" t="str">
        <f ca="1">IFERROR(__xludf.DUMMYFUNCTION("""COMPUTED_VALUE"""),"Ella")</f>
        <v>Ella</v>
      </c>
      <c r="C87" s="1" t="str">
        <f ca="1">IFERROR(__xludf.DUMMYFUNCTION("""COMPUTED_VALUE"""),"Barry")</f>
        <v>Barry</v>
      </c>
      <c r="D87" s="1" t="str">
        <f ca="1">IFERROR(__xludf.DUMMYFUNCTION("""COMPUTED_VALUE"""),"Beverley")</f>
        <v>Beverley</v>
      </c>
      <c r="E87" s="2">
        <f ca="1">IFERROR(__xludf.DUMMYFUNCTION("""COMPUTED_VALUE"""),0.00395636574074074)</f>
        <v>3.9563657407407403E-3</v>
      </c>
      <c r="F87" s="1"/>
    </row>
    <row r="88" spans="1:6" x14ac:dyDescent="0.2">
      <c r="A88" s="1">
        <f ca="1">IFERROR(__xludf.DUMMYFUNCTION("""COMPUTED_VALUE"""),144)</f>
        <v>144</v>
      </c>
      <c r="B88" s="1" t="str">
        <f ca="1">IFERROR(__xludf.DUMMYFUNCTION("""COMPUTED_VALUE"""),"Addien")</f>
        <v>Addien</v>
      </c>
      <c r="C88" s="1" t="str">
        <f ca="1">IFERROR(__xludf.DUMMYFUNCTION("""COMPUTED_VALUE"""),"Baker")</f>
        <v>Baker</v>
      </c>
      <c r="D88" s="1" t="str">
        <f ca="1">IFERROR(__xludf.DUMMYFUNCTION("""COMPUTED_VALUE"""),"KUHAC")</f>
        <v>KUHAC</v>
      </c>
      <c r="E88" s="2">
        <f ca="1">IFERROR(__xludf.DUMMYFUNCTION("""COMPUTED_VALUE"""),0.0039605324074074)</f>
        <v>3.9605324074073996E-3</v>
      </c>
      <c r="F88" s="1"/>
    </row>
    <row r="89" spans="1:6" x14ac:dyDescent="0.2">
      <c r="A89" s="3" t="str">
        <f ca="1">IFERROR(__xludf.DUMMYFUNCTION("""COMPUTED_VALUE"""),"U16 Boys 300m A Race")</f>
        <v>U16 Boys 300m A Race</v>
      </c>
      <c r="B89" s="3"/>
      <c r="C89" s="3"/>
      <c r="D89" s="3"/>
      <c r="E89" s="3"/>
      <c r="F89" s="1"/>
    </row>
    <row r="90" spans="1:6" x14ac:dyDescent="0.2">
      <c r="A90" s="1">
        <f ca="1">IFERROR(__xludf.DUMMYFUNCTION("""COMPUTED_VALUE"""),420)</f>
        <v>420</v>
      </c>
      <c r="B90" s="1" t="str">
        <f ca="1">IFERROR(__xludf.DUMMYFUNCTION("""COMPUTED_VALUE"""),"Leo")</f>
        <v>Leo</v>
      </c>
      <c r="C90" s="1" t="str">
        <f ca="1">IFERROR(__xludf.DUMMYFUNCTION("""COMPUTED_VALUE"""),"Shaw")</f>
        <v>Shaw</v>
      </c>
      <c r="D90" s="1" t="str">
        <f ca="1">IFERROR(__xludf.DUMMYFUNCTION("""COMPUTED_VALUE"""),"Notts")</f>
        <v>Notts</v>
      </c>
      <c r="E90" s="4">
        <f ca="1">IFERROR(__xludf.DUMMYFUNCTION("""COMPUTED_VALUE"""),38.16)</f>
        <v>38.159999999999997</v>
      </c>
      <c r="F90" s="1"/>
    </row>
    <row r="91" spans="1:6" x14ac:dyDescent="0.2">
      <c r="A91" s="1">
        <f ca="1">IFERROR(__xludf.DUMMYFUNCTION("""COMPUTED_VALUE"""),520)</f>
        <v>520</v>
      </c>
      <c r="B91" s="1" t="str">
        <f ca="1">IFERROR(__xludf.DUMMYFUNCTION("""COMPUTED_VALUE"""),"Oscar")</f>
        <v>Oscar</v>
      </c>
      <c r="C91" s="1" t="str">
        <f ca="1">IFERROR(__xludf.DUMMYFUNCTION("""COMPUTED_VALUE"""),"McGuinness")</f>
        <v>McGuinness</v>
      </c>
      <c r="D91" s="1" t="str">
        <f ca="1">IFERROR(__xludf.DUMMYFUNCTION("""COMPUTED_VALUE"""),"Doncaster")</f>
        <v>Doncaster</v>
      </c>
      <c r="E91" s="4">
        <f ca="1">IFERROR(__xludf.DUMMYFUNCTION("""COMPUTED_VALUE"""),39.99)</f>
        <v>39.99</v>
      </c>
      <c r="F91" s="1"/>
    </row>
    <row r="92" spans="1:6" x14ac:dyDescent="0.2">
      <c r="A92" s="1">
        <f ca="1">IFERROR(__xludf.DUMMYFUNCTION("""COMPUTED_VALUE"""),123)</f>
        <v>123</v>
      </c>
      <c r="B92" s="1" t="str">
        <f ca="1">IFERROR(__xludf.DUMMYFUNCTION("""COMPUTED_VALUE"""),"Benjamin")</f>
        <v>Benjamin</v>
      </c>
      <c r="C92" s="1" t="str">
        <f ca="1">IFERROR(__xludf.DUMMYFUNCTION("""COMPUTED_VALUE"""),"Crabtree")</f>
        <v>Crabtree</v>
      </c>
      <c r="D92" s="1" t="str">
        <f ca="1">IFERROR(__xludf.DUMMYFUNCTION("""COMPUTED_VALUE"""),"KUHAC")</f>
        <v>KUHAC</v>
      </c>
      <c r="E92" s="4">
        <f ca="1">IFERROR(__xludf.DUMMYFUNCTION("""COMPUTED_VALUE"""),40.3)</f>
        <v>40.299999999999997</v>
      </c>
      <c r="F92" s="1"/>
    </row>
    <row r="93" spans="1:6" x14ac:dyDescent="0.2">
      <c r="A93" s="1">
        <f ca="1">IFERROR(__xludf.DUMMYFUNCTION("""COMPUTED_VALUE"""),18)</f>
        <v>18</v>
      </c>
      <c r="B93" s="1" t="str">
        <f ca="1">IFERROR(__xludf.DUMMYFUNCTION("""COMPUTED_VALUE"""),"Charlie")</f>
        <v>Charlie</v>
      </c>
      <c r="C93" s="1" t="str">
        <f ca="1">IFERROR(__xludf.DUMMYFUNCTION("""COMPUTED_VALUE"""),"Wardle")</f>
        <v>Wardle</v>
      </c>
      <c r="D93" s="1" t="str">
        <f ca="1">IFERROR(__xludf.DUMMYFUNCTION("""COMPUTED_VALUE"""),"High Peak")</f>
        <v>High Peak</v>
      </c>
      <c r="E93" s="4">
        <f ca="1">IFERROR(__xludf.DUMMYFUNCTION("""COMPUTED_VALUE"""),40.63)</f>
        <v>40.630000000000003</v>
      </c>
      <c r="F93" s="1"/>
    </row>
    <row r="94" spans="1:6" x14ac:dyDescent="0.2">
      <c r="A94" s="1">
        <f ca="1">IFERROR(__xludf.DUMMYFUNCTION("""COMPUTED_VALUE"""),320)</f>
        <v>320</v>
      </c>
      <c r="B94" s="1" t="str">
        <f ca="1">IFERROR(__xludf.DUMMYFUNCTION("""COMPUTED_VALUE"""),"Jack")</f>
        <v>Jack</v>
      </c>
      <c r="C94" s="1" t="str">
        <f ca="1">IFERROR(__xludf.DUMMYFUNCTION("""COMPUTED_VALUE"""),"Davey")</f>
        <v>Davey</v>
      </c>
      <c r="D94" s="1" t="str">
        <f ca="1">IFERROR(__xludf.DUMMYFUNCTION("""COMPUTED_VALUE"""),"LWAC")</f>
        <v>LWAC</v>
      </c>
      <c r="E94" s="4">
        <f ca="1">IFERROR(__xludf.DUMMYFUNCTION("""COMPUTED_VALUE"""),40.69)</f>
        <v>40.69</v>
      </c>
      <c r="F94" s="1"/>
    </row>
    <row r="95" spans="1:6" x14ac:dyDescent="0.2">
      <c r="A95" s="3" t="str">
        <f ca="1">IFERROR(__xludf.DUMMYFUNCTION("""COMPUTED_VALUE"""),"U16 Boys 300m B Race")</f>
        <v>U16 Boys 300m B Race</v>
      </c>
      <c r="B95" s="3"/>
      <c r="C95" s="3"/>
      <c r="D95" s="3"/>
      <c r="E95" s="3"/>
      <c r="F95" s="1"/>
    </row>
    <row r="96" spans="1:6" x14ac:dyDescent="0.2">
      <c r="A96" s="1">
        <f ca="1">IFERROR(__xludf.DUMMYFUNCTION("""COMPUTED_VALUE"""),419)</f>
        <v>419</v>
      </c>
      <c r="B96" s="1" t="str">
        <f ca="1">IFERROR(__xludf.DUMMYFUNCTION("""COMPUTED_VALUE"""),"Fergal")</f>
        <v>Fergal</v>
      </c>
      <c r="C96" s="1" t="str">
        <f ca="1">IFERROR(__xludf.DUMMYFUNCTION("""COMPUTED_VALUE"""),"Giltinan")</f>
        <v>Giltinan</v>
      </c>
      <c r="D96" s="1" t="str">
        <f ca="1">IFERROR(__xludf.DUMMYFUNCTION("""COMPUTED_VALUE"""),"Rushcliffe")</f>
        <v>Rushcliffe</v>
      </c>
      <c r="E96" s="4">
        <f ca="1">IFERROR(__xludf.DUMMYFUNCTION("""COMPUTED_VALUE"""),38.54)</f>
        <v>38.54</v>
      </c>
      <c r="F96" s="1"/>
    </row>
    <row r="97" spans="1:6" x14ac:dyDescent="0.2">
      <c r="A97" s="1">
        <f ca="1">IFERROR(__xludf.DUMMYFUNCTION("""COMPUTED_VALUE"""),519)</f>
        <v>519</v>
      </c>
      <c r="B97" s="1" t="str">
        <f ca="1">IFERROR(__xludf.DUMMYFUNCTION("""COMPUTED_VALUE"""),"Sam")</f>
        <v>Sam</v>
      </c>
      <c r="C97" s="1" t="str">
        <f ca="1">IFERROR(__xludf.DUMMYFUNCTION("""COMPUTED_VALUE"""),"Sier")</f>
        <v>Sier</v>
      </c>
      <c r="D97" s="1" t="str">
        <f ca="1">IFERROR(__xludf.DUMMYFUNCTION("""COMPUTED_VALUE"""),"Hallamshire")</f>
        <v>Hallamshire</v>
      </c>
      <c r="E97" s="4">
        <f ca="1">IFERROR(__xludf.DUMMYFUNCTION("""COMPUTED_VALUE"""),39.11)</f>
        <v>39.11</v>
      </c>
      <c r="F97" s="1"/>
    </row>
    <row r="98" spans="1:6" x14ac:dyDescent="0.2">
      <c r="A98" s="1">
        <f ca="1">IFERROR(__xludf.DUMMYFUNCTION("""COMPUTED_VALUE"""),20)</f>
        <v>20</v>
      </c>
      <c r="B98" s="1" t="str">
        <f ca="1">IFERROR(__xludf.DUMMYFUNCTION("""COMPUTED_VALUE"""),"Tobias")</f>
        <v>Tobias</v>
      </c>
      <c r="C98" s="1" t="str">
        <f ca="1">IFERROR(__xludf.DUMMYFUNCTION("""COMPUTED_VALUE"""),"Zacharius")</f>
        <v>Zacharius</v>
      </c>
      <c r="D98" s="1" t="str">
        <f ca="1">IFERROR(__xludf.DUMMYFUNCTION("""COMPUTED_VALUE"""),"Chesterfield")</f>
        <v>Chesterfield</v>
      </c>
      <c r="E98" s="4">
        <f ca="1">IFERROR(__xludf.DUMMYFUNCTION("""COMPUTED_VALUE"""),40.26)</f>
        <v>40.26</v>
      </c>
      <c r="F98" s="1"/>
    </row>
    <row r="99" spans="1:6" x14ac:dyDescent="0.2">
      <c r="A99" s="1">
        <f ca="1">IFERROR(__xludf.DUMMYFUNCTION("""COMPUTED_VALUE"""),124)</f>
        <v>124</v>
      </c>
      <c r="B99" s="1" t="str">
        <f ca="1">IFERROR(__xludf.DUMMYFUNCTION("""COMPUTED_VALUE"""),"Henry")</f>
        <v>Henry</v>
      </c>
      <c r="C99" s="1" t="str">
        <f ca="1">IFERROR(__xludf.DUMMYFUNCTION("""COMPUTED_VALUE"""),"Neal")</f>
        <v>Neal</v>
      </c>
      <c r="D99" s="1" t="str">
        <f ca="1">IFERROR(__xludf.DUMMYFUNCTION("""COMPUTED_VALUE"""),"Scunthorpe")</f>
        <v>Scunthorpe</v>
      </c>
      <c r="E99" s="4">
        <f ca="1">IFERROR(__xludf.DUMMYFUNCTION("""COMPUTED_VALUE"""),40.52)</f>
        <v>40.520000000000003</v>
      </c>
      <c r="F99" s="1"/>
    </row>
    <row r="100" spans="1:6" x14ac:dyDescent="0.2">
      <c r="A100" s="1">
        <f ca="1">IFERROR(__xludf.DUMMYFUNCTION("""COMPUTED_VALUE"""),321)</f>
        <v>321</v>
      </c>
      <c r="B100" s="1" t="str">
        <f ca="1">IFERROR(__xludf.DUMMYFUNCTION("""COMPUTED_VALUE"""),"Freddie")</f>
        <v>Freddie</v>
      </c>
      <c r="C100" s="1" t="str">
        <f ca="1">IFERROR(__xludf.DUMMYFUNCTION("""COMPUTED_VALUE"""),"Hall")</f>
        <v>Hall</v>
      </c>
      <c r="D100" s="1" t="str">
        <f ca="1">IFERROR(__xludf.DUMMYFUNCTION("""COMPUTED_VALUE"""),"LWAC")</f>
        <v>LWAC</v>
      </c>
      <c r="E100" s="4">
        <f ca="1">IFERROR(__xludf.DUMMYFUNCTION("""COMPUTED_VALUE"""),40.55)</f>
        <v>40.549999999999997</v>
      </c>
      <c r="F100" s="1"/>
    </row>
    <row r="101" spans="1:6" x14ac:dyDescent="0.2">
      <c r="A101" s="3" t="str">
        <f ca="1">IFERROR(__xludf.DUMMYFUNCTION("""COMPUTED_VALUE"""),"U16 Girls 300m A Race")</f>
        <v>U16 Girls 300m A Race</v>
      </c>
      <c r="B101" s="3"/>
      <c r="C101" s="3"/>
      <c r="D101" s="3"/>
      <c r="E101" s="3"/>
      <c r="F101" s="1"/>
    </row>
    <row r="102" spans="1:6" x14ac:dyDescent="0.2">
      <c r="A102" s="1">
        <f ca="1">IFERROR(__xludf.DUMMYFUNCTION("""COMPUTED_VALUE"""),451)</f>
        <v>451</v>
      </c>
      <c r="B102" s="1" t="str">
        <f ca="1">IFERROR(__xludf.DUMMYFUNCTION("""COMPUTED_VALUE"""),"Annabel")</f>
        <v>Annabel</v>
      </c>
      <c r="C102" s="1" t="str">
        <f ca="1">IFERROR(__xludf.DUMMYFUNCTION("""COMPUTED_VALUE"""),"McGough")</f>
        <v>McGough</v>
      </c>
      <c r="D102" s="1" t="str">
        <f ca="1">IFERROR(__xludf.DUMMYFUNCTION("""COMPUTED_VALUE"""),"Notts")</f>
        <v>Notts</v>
      </c>
      <c r="E102" s="4">
        <f ca="1">IFERROR(__xludf.DUMMYFUNCTION("""COMPUTED_VALUE"""),42.59)</f>
        <v>42.59</v>
      </c>
      <c r="F102" s="1"/>
    </row>
    <row r="103" spans="1:6" x14ac:dyDescent="0.2">
      <c r="A103" s="1">
        <f ca="1">IFERROR(__xludf.DUMMYFUNCTION("""COMPUTED_VALUE"""),50)</f>
        <v>50</v>
      </c>
      <c r="B103" s="1" t="str">
        <f ca="1">IFERROR(__xludf.DUMMYFUNCTION("""COMPUTED_VALUE"""),"Bella")</f>
        <v>Bella</v>
      </c>
      <c r="C103" s="1" t="str">
        <f ca="1">IFERROR(__xludf.DUMMYFUNCTION("""COMPUTED_VALUE"""),"Egley")</f>
        <v>Egley</v>
      </c>
      <c r="D103" s="1" t="str">
        <f ca="1">IFERROR(__xludf.DUMMYFUNCTION("""COMPUTED_VALUE"""),"Chesterfield")</f>
        <v>Chesterfield</v>
      </c>
      <c r="E103" s="4">
        <f ca="1">IFERROR(__xludf.DUMMYFUNCTION("""COMPUTED_VALUE"""),45.81)</f>
        <v>45.81</v>
      </c>
      <c r="F103" s="1"/>
    </row>
    <row r="104" spans="1:6" x14ac:dyDescent="0.2">
      <c r="A104" s="1">
        <f ca="1">IFERROR(__xludf.DUMMYFUNCTION("""COMPUTED_VALUE"""),545)</f>
        <v>545</v>
      </c>
      <c r="B104" s="1" t="str">
        <f ca="1">IFERROR(__xludf.DUMMYFUNCTION("""COMPUTED_VALUE"""),"Jessica")</f>
        <v>Jessica</v>
      </c>
      <c r="C104" s="1" t="str">
        <f ca="1">IFERROR(__xludf.DUMMYFUNCTION("""COMPUTED_VALUE"""),"Thake")</f>
        <v>Thake</v>
      </c>
      <c r="D104" s="1" t="str">
        <f ca="1">IFERROR(__xludf.DUMMYFUNCTION("""COMPUTED_VALUE"""),"Hallamshire")</f>
        <v>Hallamshire</v>
      </c>
      <c r="E104" s="4">
        <f ca="1">IFERROR(__xludf.DUMMYFUNCTION("""COMPUTED_VALUE"""),45.97)</f>
        <v>45.97</v>
      </c>
      <c r="F104" s="1"/>
    </row>
    <row r="105" spans="1:6" x14ac:dyDescent="0.2">
      <c r="A105" s="1">
        <f ca="1">IFERROR(__xludf.DUMMYFUNCTION("""COMPUTED_VALUE"""),156)</f>
        <v>156</v>
      </c>
      <c r="B105" s="1" t="str">
        <f ca="1">IFERROR(__xludf.DUMMYFUNCTION("""COMPUTED_VALUE"""),"Pippa")</f>
        <v>Pippa</v>
      </c>
      <c r="C105" s="1" t="str">
        <f ca="1">IFERROR(__xludf.DUMMYFUNCTION("""COMPUTED_VALUE"""),"Foy")</f>
        <v>Foy</v>
      </c>
      <c r="D105" s="1" t="str">
        <f ca="1">IFERROR(__xludf.DUMMYFUNCTION("""COMPUTED_VALUE"""),"KUHAC")</f>
        <v>KUHAC</v>
      </c>
      <c r="E105" s="4">
        <f ca="1">IFERROR(__xludf.DUMMYFUNCTION("""COMPUTED_VALUE"""),46.68)</f>
        <v>46.68</v>
      </c>
      <c r="F105" s="1"/>
    </row>
    <row r="106" spans="1:6" x14ac:dyDescent="0.2">
      <c r="A106" s="1">
        <f ca="1">IFERROR(__xludf.DUMMYFUNCTION("""COMPUTED_VALUE"""),345)</f>
        <v>345</v>
      </c>
      <c r="B106" s="1" t="str">
        <f ca="1">IFERROR(__xludf.DUMMYFUNCTION("""COMPUTED_VALUE"""),"Connie")</f>
        <v>Connie</v>
      </c>
      <c r="C106" s="1" t="str">
        <f ca="1">IFERROR(__xludf.DUMMYFUNCTION("""COMPUTED_VALUE"""),"Rashley")</f>
        <v>Rashley</v>
      </c>
      <c r="D106" s="1" t="str">
        <f ca="1">IFERROR(__xludf.DUMMYFUNCTION("""COMPUTED_VALUE"""),"Grantham AC")</f>
        <v>Grantham AC</v>
      </c>
      <c r="E106" s="4">
        <f ca="1">IFERROR(__xludf.DUMMYFUNCTION("""COMPUTED_VALUE"""),49.09)</f>
        <v>49.09</v>
      </c>
      <c r="F106" s="1"/>
    </row>
    <row r="107" spans="1:6" x14ac:dyDescent="0.2">
      <c r="A107" s="3" t="str">
        <f ca="1">IFERROR(__xludf.DUMMYFUNCTION("""COMPUTED_VALUE"""),"U16 Girls 300m B Race")</f>
        <v>U16 Girls 300m B Race</v>
      </c>
      <c r="B107" s="3"/>
      <c r="C107" s="3"/>
      <c r="D107" s="3"/>
      <c r="E107" s="3"/>
      <c r="F107" s="1"/>
    </row>
    <row r="108" spans="1:6" x14ac:dyDescent="0.2">
      <c r="A108" s="1">
        <f ca="1">IFERROR(__xludf.DUMMYFUNCTION("""COMPUTED_VALUE"""),546)</f>
        <v>546</v>
      </c>
      <c r="B108" s="1" t="str">
        <f ca="1">IFERROR(__xludf.DUMMYFUNCTION("""COMPUTED_VALUE"""),"Isabel")</f>
        <v>Isabel</v>
      </c>
      <c r="C108" s="1" t="str">
        <f ca="1">IFERROR(__xludf.DUMMYFUNCTION("""COMPUTED_VALUE"""),"Maxwell")</f>
        <v>Maxwell</v>
      </c>
      <c r="D108" s="1" t="str">
        <f ca="1">IFERROR(__xludf.DUMMYFUNCTION("""COMPUTED_VALUE"""),"Hallamshire")</f>
        <v>Hallamshire</v>
      </c>
      <c r="E108" s="4">
        <f ca="1">IFERROR(__xludf.DUMMYFUNCTION("""COMPUTED_VALUE"""),44.95)</f>
        <v>44.95</v>
      </c>
      <c r="F108" s="1"/>
    </row>
    <row r="109" spans="1:6" x14ac:dyDescent="0.2">
      <c r="A109" s="1">
        <f ca="1">IFERROR(__xludf.DUMMYFUNCTION("""COMPUTED_VALUE"""),452)</f>
        <v>452</v>
      </c>
      <c r="B109" s="1" t="str">
        <f ca="1">IFERROR(__xludf.DUMMYFUNCTION("""COMPUTED_VALUE"""),"Charlotte")</f>
        <v>Charlotte</v>
      </c>
      <c r="C109" s="1" t="str">
        <f ca="1">IFERROR(__xludf.DUMMYFUNCTION("""COMPUTED_VALUE"""),"Marshall")</f>
        <v>Marshall</v>
      </c>
      <c r="D109" s="1" t="str">
        <f ca="1">IFERROR(__xludf.DUMMYFUNCTION("""COMPUTED_VALUE"""),"Mansfield")</f>
        <v>Mansfield</v>
      </c>
      <c r="E109" s="4">
        <f ca="1">IFERROR(__xludf.DUMMYFUNCTION("""COMPUTED_VALUE"""),45.48)</f>
        <v>45.48</v>
      </c>
      <c r="F109" s="1"/>
    </row>
    <row r="110" spans="1:6" x14ac:dyDescent="0.2">
      <c r="A110" s="1">
        <f ca="1">IFERROR(__xludf.DUMMYFUNCTION("""COMPUTED_VALUE"""),52)</f>
        <v>52</v>
      </c>
      <c r="B110" s="1" t="str">
        <f ca="1">IFERROR(__xludf.DUMMYFUNCTION("""COMPUTED_VALUE"""),"Dayna")</f>
        <v>Dayna</v>
      </c>
      <c r="C110" s="1" t="str">
        <f ca="1">IFERROR(__xludf.DUMMYFUNCTION("""COMPUTED_VALUE"""),"Kaynes")</f>
        <v>Kaynes</v>
      </c>
      <c r="D110" s="1" t="str">
        <f ca="1">IFERROR(__xludf.DUMMYFUNCTION("""COMPUTED_VALUE"""),"Derby")</f>
        <v>Derby</v>
      </c>
      <c r="E110" s="4">
        <f ca="1">IFERROR(__xludf.DUMMYFUNCTION("""COMPUTED_VALUE"""),45.73)</f>
        <v>45.73</v>
      </c>
      <c r="F110" s="1"/>
    </row>
    <row r="111" spans="1:6" x14ac:dyDescent="0.2">
      <c r="A111" s="1">
        <f ca="1">IFERROR(__xludf.DUMMYFUNCTION("""COMPUTED_VALUE"""),157)</f>
        <v>157</v>
      </c>
      <c r="B111" s="1" t="str">
        <f ca="1">IFERROR(__xludf.DUMMYFUNCTION("""COMPUTED_VALUE"""),"Grace")</f>
        <v>Grace</v>
      </c>
      <c r="C111" s="1" t="str">
        <f ca="1">IFERROR(__xludf.DUMMYFUNCTION("""COMPUTED_VALUE"""),"McClane")</f>
        <v>McClane</v>
      </c>
      <c r="D111" s="1" t="str">
        <f ca="1">IFERROR(__xludf.DUMMYFUNCTION("""COMPUTED_VALUE"""),"KUHAC")</f>
        <v>KUHAC</v>
      </c>
      <c r="E111" s="4">
        <f ca="1">IFERROR(__xludf.DUMMYFUNCTION("""COMPUTED_VALUE"""),48.84)</f>
        <v>48.84</v>
      </c>
      <c r="F111" s="1"/>
    </row>
    <row r="112" spans="1:6" x14ac:dyDescent="0.2">
      <c r="A112" s="1">
        <f ca="1">IFERROR(__xludf.DUMMYFUNCTION("""COMPUTED_VALUE"""),346)</f>
        <v>346</v>
      </c>
      <c r="B112" s="1" t="str">
        <f ca="1">IFERROR(__xludf.DUMMYFUNCTION("""COMPUTED_VALUE"""),"Letitia")</f>
        <v>Letitia</v>
      </c>
      <c r="C112" s="1" t="str">
        <f ca="1">IFERROR(__xludf.DUMMYFUNCTION("""COMPUTED_VALUE"""),"Arch")</f>
        <v>Arch</v>
      </c>
      <c r="D112" s="1" t="str">
        <f ca="1">IFERROR(__xludf.DUMMYFUNCTION("""COMPUTED_VALUE"""),"PANVAC")</f>
        <v>PANVAC</v>
      </c>
      <c r="E112" s="4">
        <f ca="1">IFERROR(__xludf.DUMMYFUNCTION("""COMPUTED_VALUE"""),52.37)</f>
        <v>52.37</v>
      </c>
      <c r="F112" s="1"/>
    </row>
    <row r="113" spans="1:6" x14ac:dyDescent="0.2">
      <c r="A113" s="3" t="str">
        <f ca="1">IFERROR(__xludf.DUMMYFUNCTION("""COMPUTED_VALUE"""),"U12 Boys 75m  A Race")</f>
        <v>U12 Boys 75m  A Race</v>
      </c>
      <c r="B113" s="3"/>
      <c r="C113" s="3" t="str">
        <f ca="1">IFERROR(__xludf.DUMMYFUNCTION("""COMPUTED_VALUE"""),"Wind speed")</f>
        <v>Wind speed</v>
      </c>
      <c r="D113" s="3">
        <v>-2.6</v>
      </c>
      <c r="E113" s="3"/>
      <c r="F113" s="1"/>
    </row>
    <row r="114" spans="1:6" x14ac:dyDescent="0.2">
      <c r="A114" s="1">
        <f ca="1">IFERROR(__xludf.DUMMYFUNCTION("""COMPUTED_VALUE"""),100)</f>
        <v>100</v>
      </c>
      <c r="B114" s="1" t="str">
        <f ca="1">IFERROR(__xludf.DUMMYFUNCTION("""COMPUTED_VALUE"""),"Joshua")</f>
        <v>Joshua</v>
      </c>
      <c r="C114" s="1" t="str">
        <f ca="1">IFERROR(__xludf.DUMMYFUNCTION("""COMPUTED_VALUE"""),"McClane")</f>
        <v>McClane</v>
      </c>
      <c r="D114" s="1" t="str">
        <f ca="1">IFERROR(__xludf.DUMMYFUNCTION("""COMPUTED_VALUE"""),"KUHAC")</f>
        <v>KUHAC</v>
      </c>
      <c r="E114" s="4">
        <f ca="1">IFERROR(__xludf.DUMMYFUNCTION("""COMPUTED_VALUE"""),10.69)</f>
        <v>10.69</v>
      </c>
      <c r="F114" s="1"/>
    </row>
    <row r="115" spans="1:6" x14ac:dyDescent="0.2">
      <c r="A115" s="1">
        <f ca="1">IFERROR(__xludf.DUMMYFUNCTION("""COMPUTED_VALUE"""),500)</f>
        <v>500</v>
      </c>
      <c r="B115" s="1" t="str">
        <f ca="1">IFERROR(__xludf.DUMMYFUNCTION("""COMPUTED_VALUE"""),"Preston")</f>
        <v>Preston</v>
      </c>
      <c r="C115" s="1" t="str">
        <f ca="1">IFERROR(__xludf.DUMMYFUNCTION("""COMPUTED_VALUE"""),"Liversidge")</f>
        <v>Liversidge</v>
      </c>
      <c r="D115" s="1" t="str">
        <f ca="1">IFERROR(__xludf.DUMMYFUNCTION("""COMPUTED_VALUE"""),"Doncaster")</f>
        <v>Doncaster</v>
      </c>
      <c r="E115" s="4">
        <f ca="1">IFERROR(__xludf.DUMMYFUNCTION("""COMPUTED_VALUE"""),11.1)</f>
        <v>11.1</v>
      </c>
      <c r="F115" s="1"/>
    </row>
    <row r="116" spans="1:6" x14ac:dyDescent="0.2">
      <c r="A116" s="1">
        <f ca="1">IFERROR(__xludf.DUMMYFUNCTION("""COMPUTED_VALUE"""),400)</f>
        <v>400</v>
      </c>
      <c r="B116" s="1" t="str">
        <f ca="1">IFERROR(__xludf.DUMMYFUNCTION("""COMPUTED_VALUE"""),"Khali-Drew")</f>
        <v>Khali-Drew</v>
      </c>
      <c r="C116" s="1" t="str">
        <f ca="1">IFERROR(__xludf.DUMMYFUNCTION("""COMPUTED_VALUE"""),"Lewin")</f>
        <v>Lewin</v>
      </c>
      <c r="D116" s="1" t="str">
        <f ca="1">IFERROR(__xludf.DUMMYFUNCTION("""COMPUTED_VALUE"""),"Notts")</f>
        <v>Notts</v>
      </c>
      <c r="E116" s="4">
        <f ca="1">IFERROR(__xludf.DUMMYFUNCTION("""COMPUTED_VALUE"""),11.12)</f>
        <v>11.12</v>
      </c>
      <c r="F116" s="1"/>
    </row>
    <row r="117" spans="1:6" x14ac:dyDescent="0.2">
      <c r="A117" s="1">
        <f ca="1">IFERROR(__xludf.DUMMYFUNCTION("""COMPUTED_VALUE"""),300)</f>
        <v>300</v>
      </c>
      <c r="B117" s="1" t="str">
        <f ca="1">IFERROR(__xludf.DUMMYFUNCTION("""COMPUTED_VALUE"""),"Jacob")</f>
        <v>Jacob</v>
      </c>
      <c r="C117" s="1" t="str">
        <f ca="1">IFERROR(__xludf.DUMMYFUNCTION("""COMPUTED_VALUE"""),"Skelland")</f>
        <v>Skelland</v>
      </c>
      <c r="D117" s="1" t="str">
        <f ca="1">IFERROR(__xludf.DUMMYFUNCTION("""COMPUTED_VALUE"""),"LWAC")</f>
        <v>LWAC</v>
      </c>
      <c r="E117" s="4">
        <f ca="1">IFERROR(__xludf.DUMMYFUNCTION("""COMPUTED_VALUE"""),11.37)</f>
        <v>11.37</v>
      </c>
      <c r="F117" s="1"/>
    </row>
    <row r="118" spans="1:6" x14ac:dyDescent="0.2">
      <c r="A118" s="1">
        <f ca="1">IFERROR(__xludf.DUMMYFUNCTION("""COMPUTED_VALUE"""),1)</f>
        <v>1</v>
      </c>
      <c r="B118" s="1" t="str">
        <f ca="1">IFERROR(__xludf.DUMMYFUNCTION("""COMPUTED_VALUE"""),"Reggie")</f>
        <v>Reggie</v>
      </c>
      <c r="C118" s="1" t="str">
        <f ca="1">IFERROR(__xludf.DUMMYFUNCTION("""COMPUTED_VALUE"""),"Taylor")</f>
        <v>Taylor</v>
      </c>
      <c r="D118" s="1" t="str">
        <f ca="1">IFERROR(__xludf.DUMMYFUNCTION("""COMPUTED_VALUE"""),"AVEAC")</f>
        <v>AVEAC</v>
      </c>
      <c r="E118" s="4">
        <f ca="1">IFERROR(__xludf.DUMMYFUNCTION("""COMPUTED_VALUE"""),11.44)</f>
        <v>11.44</v>
      </c>
      <c r="F118" s="1"/>
    </row>
    <row r="119" spans="1:6" x14ac:dyDescent="0.2">
      <c r="A119" s="3" t="str">
        <f ca="1">IFERROR(__xludf.DUMMYFUNCTION("""COMPUTED_VALUE"""),"U12 Boys 75m  B Race")</f>
        <v>U12 Boys 75m  B Race</v>
      </c>
      <c r="B119" s="3"/>
      <c r="C119" s="3" t="str">
        <f ca="1">IFERROR(__xludf.DUMMYFUNCTION("""COMPUTED_VALUE"""),"Wind speed")</f>
        <v>Wind speed</v>
      </c>
      <c r="D119" s="8">
        <v>-2</v>
      </c>
      <c r="E119" s="3"/>
      <c r="F119" s="1"/>
    </row>
    <row r="120" spans="1:6" x14ac:dyDescent="0.2">
      <c r="A120" s="1">
        <f ca="1">IFERROR(__xludf.DUMMYFUNCTION("""COMPUTED_VALUE"""),401)</f>
        <v>401</v>
      </c>
      <c r="B120" s="1" t="str">
        <f ca="1">IFERROR(__xludf.DUMMYFUNCTION("""COMPUTED_VALUE"""),"Jamie")</f>
        <v>Jamie</v>
      </c>
      <c r="C120" s="1" t="str">
        <f ca="1">IFERROR(__xludf.DUMMYFUNCTION("""COMPUTED_VALUE"""),"Farnsworth")</f>
        <v>Farnsworth</v>
      </c>
      <c r="D120" s="1" t="str">
        <f ca="1">IFERROR(__xludf.DUMMYFUNCTION("""COMPUTED_VALUE"""),"Rushcliffe")</f>
        <v>Rushcliffe</v>
      </c>
      <c r="E120" s="4">
        <f ca="1">IFERROR(__xludf.DUMMYFUNCTION("""COMPUTED_VALUE"""),11.32)</f>
        <v>11.32</v>
      </c>
      <c r="F120" s="1"/>
    </row>
    <row r="121" spans="1:6" x14ac:dyDescent="0.2">
      <c r="A121" s="1">
        <f ca="1">IFERROR(__xludf.DUMMYFUNCTION("""COMPUTED_VALUE"""),2)</f>
        <v>2</v>
      </c>
      <c r="B121" s="1" t="str">
        <f ca="1">IFERROR(__xludf.DUMMYFUNCTION("""COMPUTED_VALUE"""),"Joseph")</f>
        <v>Joseph</v>
      </c>
      <c r="C121" s="1" t="str">
        <f ca="1">IFERROR(__xludf.DUMMYFUNCTION("""COMPUTED_VALUE"""),"Brackenbury")</f>
        <v>Brackenbury</v>
      </c>
      <c r="D121" s="1" t="str">
        <f ca="1">IFERROR(__xludf.DUMMYFUNCTION("""COMPUTED_VALUE"""),"AVEAC")</f>
        <v>AVEAC</v>
      </c>
      <c r="E121" s="4">
        <f ca="1">IFERROR(__xludf.DUMMYFUNCTION("""COMPUTED_VALUE"""),11.32)</f>
        <v>11.32</v>
      </c>
      <c r="F121" s="1"/>
    </row>
    <row r="122" spans="1:6" x14ac:dyDescent="0.2">
      <c r="A122" s="1">
        <f ca="1">IFERROR(__xludf.DUMMYFUNCTION("""COMPUTED_VALUE"""),501)</f>
        <v>501</v>
      </c>
      <c r="B122" s="1" t="str">
        <f ca="1">IFERROR(__xludf.DUMMYFUNCTION("""COMPUTED_VALUE"""),"Colin")</f>
        <v>Colin</v>
      </c>
      <c r="C122" s="1" t="str">
        <f ca="1">IFERROR(__xludf.DUMMYFUNCTION("""COMPUTED_VALUE"""),"Appiah")</f>
        <v>Appiah</v>
      </c>
      <c r="D122" s="1" t="str">
        <f ca="1">IFERROR(__xludf.DUMMYFUNCTION("""COMPUTED_VALUE"""),"Rotherham")</f>
        <v>Rotherham</v>
      </c>
      <c r="E122" s="4">
        <f ca="1">IFERROR(__xludf.DUMMYFUNCTION("""COMPUTED_VALUE"""),11.57)</f>
        <v>11.57</v>
      </c>
      <c r="F122" s="1"/>
    </row>
    <row r="123" spans="1:6" x14ac:dyDescent="0.2">
      <c r="A123" s="1">
        <f ca="1">IFERROR(__xludf.DUMMYFUNCTION("""COMPUTED_VALUE"""),101)</f>
        <v>101</v>
      </c>
      <c r="B123" s="1" t="str">
        <f ca="1">IFERROR(__xludf.DUMMYFUNCTION("""COMPUTED_VALUE"""),"Jack")</f>
        <v>Jack</v>
      </c>
      <c r="C123" s="1" t="str">
        <f ca="1">IFERROR(__xludf.DUMMYFUNCTION("""COMPUTED_VALUE"""),"Wood")</f>
        <v>Wood</v>
      </c>
      <c r="D123" s="1" t="str">
        <f ca="1">IFERROR(__xludf.DUMMYFUNCTION("""COMPUTED_VALUE"""),"Barton")</f>
        <v>Barton</v>
      </c>
      <c r="E123" s="4">
        <f ca="1">IFERROR(__xludf.DUMMYFUNCTION("""COMPUTED_VALUE"""),11.79)</f>
        <v>11.79</v>
      </c>
      <c r="F123" s="1"/>
    </row>
    <row r="124" spans="1:6" x14ac:dyDescent="0.2">
      <c r="A124" s="1">
        <f ca="1">IFERROR(__xludf.DUMMYFUNCTION("""COMPUTED_VALUE"""),301)</f>
        <v>301</v>
      </c>
      <c r="B124" s="1" t="str">
        <f ca="1">IFERROR(__xludf.DUMMYFUNCTION("""COMPUTED_VALUE"""),"Francesco")</f>
        <v>Francesco</v>
      </c>
      <c r="C124" s="1" t="str">
        <f ca="1">IFERROR(__xludf.DUMMYFUNCTION("""COMPUTED_VALUE"""),"Mussi")</f>
        <v>Mussi</v>
      </c>
      <c r="D124" s="1" t="str">
        <f ca="1">IFERROR(__xludf.DUMMYFUNCTION("""COMPUTED_VALUE"""),"LWAC")</f>
        <v>LWAC</v>
      </c>
      <c r="E124" s="4">
        <f ca="1">IFERROR(__xludf.DUMMYFUNCTION("""COMPUTED_VALUE"""),12.02)</f>
        <v>12.02</v>
      </c>
      <c r="F124" s="1"/>
    </row>
    <row r="125" spans="1:6" x14ac:dyDescent="0.2">
      <c r="A125" s="3" t="str">
        <f ca="1">IFERROR(__xludf.DUMMYFUNCTION("""COMPUTED_VALUE"""),"U12 Girls 75m  A Race")</f>
        <v>U12 Girls 75m  A Race</v>
      </c>
      <c r="B125" s="3"/>
      <c r="C125" s="3" t="str">
        <f ca="1">IFERROR(__xludf.DUMMYFUNCTION("""COMPUTED_VALUE"""),"Wind speed")</f>
        <v>Wind speed</v>
      </c>
      <c r="D125" s="3">
        <f ca="1">IFERROR(__xludf.DUMMYFUNCTION("""COMPUTED_VALUE"""),-2.8)</f>
        <v>-2.8</v>
      </c>
      <c r="E125" s="3"/>
      <c r="F125" s="1"/>
    </row>
    <row r="126" spans="1:6" x14ac:dyDescent="0.2">
      <c r="A126" s="1">
        <f ca="1">IFERROR(__xludf.DUMMYFUNCTION("""COMPUTED_VALUE"""),27)</f>
        <v>27</v>
      </c>
      <c r="B126" s="1" t="str">
        <f ca="1">IFERROR(__xludf.DUMMYFUNCTION("""COMPUTED_VALUE"""),"Libby")</f>
        <v>Libby</v>
      </c>
      <c r="C126" s="1" t="str">
        <f ca="1">IFERROR(__xludf.DUMMYFUNCTION("""COMPUTED_VALUE"""),"Heaney")</f>
        <v>Heaney</v>
      </c>
      <c r="D126" s="1" t="str">
        <f ca="1">IFERROR(__xludf.DUMMYFUNCTION("""COMPUTED_VALUE"""),"Derby")</f>
        <v>Derby</v>
      </c>
      <c r="E126" s="4">
        <f ca="1">IFERROR(__xludf.DUMMYFUNCTION("""COMPUTED_VALUE"""),11.28)</f>
        <v>11.28</v>
      </c>
      <c r="F126" s="1"/>
    </row>
    <row r="127" spans="1:6" x14ac:dyDescent="0.2">
      <c r="A127" s="1">
        <f ca="1">IFERROR(__xludf.DUMMYFUNCTION("""COMPUTED_VALUE"""),132)</f>
        <v>132</v>
      </c>
      <c r="B127" s="1" t="str">
        <f ca="1">IFERROR(__xludf.DUMMYFUNCTION("""COMPUTED_VALUE"""),"Everly")</f>
        <v>Everly</v>
      </c>
      <c r="C127" s="1" t="str">
        <f ca="1">IFERROR(__xludf.DUMMYFUNCTION("""COMPUTED_VALUE"""),"Walden")</f>
        <v>Walden</v>
      </c>
      <c r="D127" s="1" t="str">
        <f ca="1">IFERROR(__xludf.DUMMYFUNCTION("""COMPUTED_VALUE"""),"Vale of York")</f>
        <v>Vale of York</v>
      </c>
      <c r="E127" s="4">
        <f ca="1">IFERROR(__xludf.DUMMYFUNCTION("""COMPUTED_VALUE"""),11.29)</f>
        <v>11.29</v>
      </c>
      <c r="F127" s="1"/>
    </row>
    <row r="128" spans="1:6" x14ac:dyDescent="0.2">
      <c r="A128" s="1">
        <f ca="1">IFERROR(__xludf.DUMMYFUNCTION("""COMPUTED_VALUE"""),431)</f>
        <v>431</v>
      </c>
      <c r="B128" s="1" t="str">
        <f ca="1">IFERROR(__xludf.DUMMYFUNCTION("""COMPUTED_VALUE"""),"Freya")</f>
        <v>Freya</v>
      </c>
      <c r="C128" s="1" t="str">
        <f ca="1">IFERROR(__xludf.DUMMYFUNCTION("""COMPUTED_VALUE"""),"Jennings")</f>
        <v>Jennings</v>
      </c>
      <c r="D128" s="1" t="str">
        <f ca="1">IFERROR(__xludf.DUMMYFUNCTION("""COMPUTED_VALUE"""),"Rushcliffe")</f>
        <v>Rushcliffe</v>
      </c>
      <c r="E128" s="4">
        <f ca="1">IFERROR(__xludf.DUMMYFUNCTION("""COMPUTED_VALUE"""),11.3)</f>
        <v>11.3</v>
      </c>
      <c r="F128" s="1"/>
    </row>
    <row r="129" spans="1:6" x14ac:dyDescent="0.2">
      <c r="A129" s="1">
        <f ca="1">IFERROR(__xludf.DUMMYFUNCTION("""COMPUTED_VALUE"""),526)</f>
        <v>526</v>
      </c>
      <c r="B129" s="1" t="str">
        <f ca="1">IFERROR(__xludf.DUMMYFUNCTION("""COMPUTED_VALUE"""),"Destiny Chikamso")</f>
        <v>Destiny Chikamso</v>
      </c>
      <c r="C129" s="1" t="str">
        <f ca="1">IFERROR(__xludf.DUMMYFUNCTION("""COMPUTED_VALUE"""),"Nwagwu")</f>
        <v>Nwagwu</v>
      </c>
      <c r="D129" s="1" t="str">
        <f ca="1">IFERROR(__xludf.DUMMYFUNCTION("""COMPUTED_VALUE"""),"Hallamshire")</f>
        <v>Hallamshire</v>
      </c>
      <c r="E129" s="4">
        <f ca="1">IFERROR(__xludf.DUMMYFUNCTION("""COMPUTED_VALUE"""),11.46)</f>
        <v>11.46</v>
      </c>
      <c r="F129" s="1"/>
    </row>
    <row r="130" spans="1:6" x14ac:dyDescent="0.2">
      <c r="A130" s="1">
        <f ca="1">IFERROR(__xludf.DUMMYFUNCTION("""COMPUTED_VALUE"""),327)</f>
        <v>327</v>
      </c>
      <c r="B130" s="1" t="str">
        <f ca="1">IFERROR(__xludf.DUMMYFUNCTION("""COMPUTED_VALUE"""),"Rose")</f>
        <v>Rose</v>
      </c>
      <c r="C130" s="1" t="str">
        <f ca="1">IFERROR(__xludf.DUMMYFUNCTION("""COMPUTED_VALUE"""),"Freeman")</f>
        <v>Freeman</v>
      </c>
      <c r="D130" s="1" t="str">
        <f ca="1">IFERROR(__xludf.DUMMYFUNCTION("""COMPUTED_VALUE"""),"LWAC")</f>
        <v>LWAC</v>
      </c>
      <c r="E130" s="4">
        <f ca="1">IFERROR(__xludf.DUMMYFUNCTION("""COMPUTED_VALUE"""),11.76)</f>
        <v>11.76</v>
      </c>
      <c r="F130" s="1"/>
    </row>
    <row r="131" spans="1:6" x14ac:dyDescent="0.2">
      <c r="A131" s="3" t="str">
        <f ca="1">IFERROR(__xludf.DUMMYFUNCTION("""COMPUTED_VALUE"""),"U12 Girls 75m  B Race")</f>
        <v>U12 Girls 75m  B Race</v>
      </c>
      <c r="B131" s="3"/>
      <c r="C131" s="3" t="str">
        <f ca="1">IFERROR(__xludf.DUMMYFUNCTION("""COMPUTED_VALUE"""),"Wind speed")</f>
        <v>Wind speed</v>
      </c>
      <c r="D131" s="3">
        <f ca="1">IFERROR(__xludf.DUMMYFUNCTION("""COMPUTED_VALUE"""),-4.4)</f>
        <v>-4.4000000000000004</v>
      </c>
      <c r="E131" s="3"/>
      <c r="F131" s="1"/>
    </row>
    <row r="132" spans="1:6" x14ac:dyDescent="0.2">
      <c r="A132" s="1">
        <f ca="1">IFERROR(__xludf.DUMMYFUNCTION("""COMPUTED_VALUE"""),432)</f>
        <v>432</v>
      </c>
      <c r="B132" s="1" t="str">
        <f ca="1">IFERROR(__xludf.DUMMYFUNCTION("""COMPUTED_VALUE"""),"Everly")</f>
        <v>Everly</v>
      </c>
      <c r="C132" s="1" t="str">
        <f ca="1">IFERROR(__xludf.DUMMYFUNCTION("""COMPUTED_VALUE"""),"Chijioke")</f>
        <v>Chijioke</v>
      </c>
      <c r="D132" s="1" t="str">
        <f ca="1">IFERROR(__xludf.DUMMYFUNCTION("""COMPUTED_VALUE"""),"Mansfield")</f>
        <v>Mansfield</v>
      </c>
      <c r="E132" s="4">
        <f ca="1">IFERROR(__xludf.DUMMYFUNCTION("""COMPUTED_VALUE"""),11.44)</f>
        <v>11.44</v>
      </c>
      <c r="F132" s="1"/>
    </row>
    <row r="133" spans="1:6" x14ac:dyDescent="0.2">
      <c r="A133" s="1">
        <f ca="1">IFERROR(__xludf.DUMMYFUNCTION("""COMPUTED_VALUE"""),133)</f>
        <v>133</v>
      </c>
      <c r="B133" s="1" t="str">
        <f ca="1">IFERROR(__xludf.DUMMYFUNCTION("""COMPUTED_VALUE"""),"Eevie")</f>
        <v>Eevie</v>
      </c>
      <c r="C133" s="1" t="str">
        <f ca="1">IFERROR(__xludf.DUMMYFUNCTION("""COMPUTED_VALUE"""),"Barnard")</f>
        <v>Barnard</v>
      </c>
      <c r="D133" s="1" t="str">
        <f ca="1">IFERROR(__xludf.DUMMYFUNCTION("""COMPUTED_VALUE"""),"Grimsby")</f>
        <v>Grimsby</v>
      </c>
      <c r="E133" s="4">
        <f ca="1">IFERROR(__xludf.DUMMYFUNCTION("""COMPUTED_VALUE"""),11.62)</f>
        <v>11.62</v>
      </c>
      <c r="F133" s="1"/>
    </row>
    <row r="134" spans="1:6" x14ac:dyDescent="0.2">
      <c r="A134" s="1">
        <f ca="1">IFERROR(__xludf.DUMMYFUNCTION("""COMPUTED_VALUE"""),28)</f>
        <v>28</v>
      </c>
      <c r="B134" s="1" t="str">
        <f ca="1">IFERROR(__xludf.DUMMYFUNCTION("""COMPUTED_VALUE"""),"Gracie")</f>
        <v>Gracie</v>
      </c>
      <c r="C134" s="1" t="str">
        <f ca="1">IFERROR(__xludf.DUMMYFUNCTION("""COMPUTED_VALUE"""),"Brien")</f>
        <v>Brien</v>
      </c>
      <c r="D134" s="1" t="str">
        <f ca="1">IFERROR(__xludf.DUMMYFUNCTION("""COMPUTED_VALUE"""),"Derby")</f>
        <v>Derby</v>
      </c>
      <c r="E134" s="4">
        <f ca="1">IFERROR(__xludf.DUMMYFUNCTION("""COMPUTED_VALUE"""),11.81)</f>
        <v>11.81</v>
      </c>
      <c r="F134" s="1"/>
    </row>
    <row r="135" spans="1:6" x14ac:dyDescent="0.2">
      <c r="A135" s="1">
        <f ca="1">IFERROR(__xludf.DUMMYFUNCTION("""COMPUTED_VALUE"""),527)</f>
        <v>527</v>
      </c>
      <c r="B135" s="1" t="str">
        <f ca="1">IFERROR(__xludf.DUMMYFUNCTION("""COMPUTED_VALUE"""),"Caitlin")</f>
        <v>Caitlin</v>
      </c>
      <c r="C135" s="1" t="str">
        <f ca="1">IFERROR(__xludf.DUMMYFUNCTION("""COMPUTED_VALUE"""),"Hughes")</f>
        <v>Hughes</v>
      </c>
      <c r="D135" s="1" t="str">
        <f ca="1">IFERROR(__xludf.DUMMYFUNCTION("""COMPUTED_VALUE"""),"Rotherham")</f>
        <v>Rotherham</v>
      </c>
      <c r="E135" s="4">
        <f ca="1">IFERROR(__xludf.DUMMYFUNCTION("""COMPUTED_VALUE"""),12.12)</f>
        <v>12.12</v>
      </c>
      <c r="F135" s="1"/>
    </row>
    <row r="136" spans="1:6" x14ac:dyDescent="0.2">
      <c r="A136" s="1">
        <f ca="1">IFERROR(__xludf.DUMMYFUNCTION("""COMPUTED_VALUE"""),328)</f>
        <v>328</v>
      </c>
      <c r="B136" s="1" t="str">
        <f ca="1">IFERROR(__xludf.DUMMYFUNCTION("""COMPUTED_VALUE"""),"Rebecca")</f>
        <v>Rebecca</v>
      </c>
      <c r="C136" s="1" t="str">
        <f ca="1">IFERROR(__xludf.DUMMYFUNCTION("""COMPUTED_VALUE"""),"Batista")</f>
        <v>Batista</v>
      </c>
      <c r="D136" s="1" t="str">
        <f ca="1">IFERROR(__xludf.DUMMYFUNCTION("""COMPUTED_VALUE"""),"LWAC")</f>
        <v>LWAC</v>
      </c>
      <c r="E136" s="4">
        <f ca="1">IFERROR(__xludf.DUMMYFUNCTION("""COMPUTED_VALUE"""),12.15)</f>
        <v>12.15</v>
      </c>
      <c r="F136" s="1"/>
    </row>
    <row r="137" spans="1:6" x14ac:dyDescent="0.2">
      <c r="A137" s="3" t="str">
        <f ca="1">IFERROR(__xludf.DUMMYFUNCTION("""COMPUTED_VALUE"""),"U14 Boys 100m A Race")</f>
        <v>U14 Boys 100m A Race</v>
      </c>
      <c r="B137" s="3"/>
      <c r="C137" s="3" t="str">
        <f ca="1">IFERROR(__xludf.DUMMYFUNCTION("""COMPUTED_VALUE"""),"Wind speed")</f>
        <v>Wind speed</v>
      </c>
      <c r="D137" s="8">
        <f ca="1">IFERROR(__xludf.DUMMYFUNCTION("""COMPUTED_VALUE"""),-3)</f>
        <v>-3</v>
      </c>
      <c r="E137" s="3"/>
      <c r="F137" s="1"/>
    </row>
    <row r="138" spans="1:6" x14ac:dyDescent="0.2">
      <c r="A138" s="1">
        <f ca="1">IFERROR(__xludf.DUMMYFUNCTION("""COMPUTED_VALUE"""),309)</f>
        <v>309</v>
      </c>
      <c r="B138" s="1" t="str">
        <f ca="1">IFERROR(__xludf.DUMMYFUNCTION("""COMPUTED_VALUE"""),"Max")</f>
        <v>Max</v>
      </c>
      <c r="C138" s="1" t="str">
        <f ca="1">IFERROR(__xludf.DUMMYFUNCTION("""COMPUTED_VALUE"""),"Hoyles")</f>
        <v>Hoyles</v>
      </c>
      <c r="D138" s="1" t="str">
        <f ca="1">IFERROR(__xludf.DUMMYFUNCTION("""COMPUTED_VALUE"""),"Grantham AC")</f>
        <v>Grantham AC</v>
      </c>
      <c r="E138" s="4">
        <f ca="1">IFERROR(__xludf.DUMMYFUNCTION("""COMPUTED_VALUE"""),12.43)</f>
        <v>12.43</v>
      </c>
      <c r="F138" s="1"/>
    </row>
    <row r="139" spans="1:6" x14ac:dyDescent="0.2">
      <c r="A139" s="1">
        <f ca="1">IFERROR(__xludf.DUMMYFUNCTION("""COMPUTED_VALUE"""),110)</f>
        <v>110</v>
      </c>
      <c r="B139" s="1" t="str">
        <f ca="1">IFERROR(__xludf.DUMMYFUNCTION("""COMPUTED_VALUE"""),"Emmanuel")</f>
        <v>Emmanuel</v>
      </c>
      <c r="C139" s="1" t="str">
        <f ca="1">IFERROR(__xludf.DUMMYFUNCTION("""COMPUTED_VALUE"""),"Mendez")</f>
        <v>Mendez</v>
      </c>
      <c r="D139" s="1" t="str">
        <f ca="1">IFERROR(__xludf.DUMMYFUNCTION("""COMPUTED_VALUE"""),"KUHAC")</f>
        <v>KUHAC</v>
      </c>
      <c r="E139" s="4">
        <f ca="1">IFERROR(__xludf.DUMMYFUNCTION("""COMPUTED_VALUE"""),12.45)</f>
        <v>12.45</v>
      </c>
      <c r="F139" s="1"/>
    </row>
    <row r="140" spans="1:6" x14ac:dyDescent="0.2">
      <c r="A140" s="1">
        <f ca="1">IFERROR(__xludf.DUMMYFUNCTION("""COMPUTED_VALUE"""),508)</f>
        <v>508</v>
      </c>
      <c r="B140" s="1" t="str">
        <f ca="1">IFERROR(__xludf.DUMMYFUNCTION("""COMPUTED_VALUE"""),"Aron")</f>
        <v>Aron</v>
      </c>
      <c r="C140" s="1" t="str">
        <f ca="1">IFERROR(__xludf.DUMMYFUNCTION("""COMPUTED_VALUE"""),"Hattersley")</f>
        <v>Hattersley</v>
      </c>
      <c r="D140" s="1" t="str">
        <f ca="1">IFERROR(__xludf.DUMMYFUNCTION("""COMPUTED_VALUE"""),"City of Sheffield")</f>
        <v>City of Sheffield</v>
      </c>
      <c r="E140" s="4">
        <f ca="1">IFERROR(__xludf.DUMMYFUNCTION("""COMPUTED_VALUE"""),12.47)</f>
        <v>12.47</v>
      </c>
      <c r="F140" s="1"/>
    </row>
    <row r="141" spans="1:6" x14ac:dyDescent="0.2">
      <c r="A141" s="1">
        <f ca="1">IFERROR(__xludf.DUMMYFUNCTION("""COMPUTED_VALUE"""),407)</f>
        <v>407</v>
      </c>
      <c r="B141" s="1" t="str">
        <f ca="1">IFERROR(__xludf.DUMMYFUNCTION("""COMPUTED_VALUE"""),"Elliot")</f>
        <v>Elliot</v>
      </c>
      <c r="C141" s="1" t="str">
        <f ca="1">IFERROR(__xludf.DUMMYFUNCTION("""COMPUTED_VALUE"""),"Junor")</f>
        <v>Junor</v>
      </c>
      <c r="D141" s="1" t="str">
        <f ca="1">IFERROR(__xludf.DUMMYFUNCTION("""COMPUTED_VALUE"""),"Notts")</f>
        <v>Notts</v>
      </c>
      <c r="E141" s="4">
        <f ca="1">IFERROR(__xludf.DUMMYFUNCTION("""COMPUTED_VALUE"""),12.76)</f>
        <v>12.76</v>
      </c>
      <c r="F141" s="1"/>
    </row>
    <row r="142" spans="1:6" x14ac:dyDescent="0.2">
      <c r="A142" s="1">
        <f ca="1">IFERROR(__xludf.DUMMYFUNCTION("""COMPUTED_VALUE"""),7)</f>
        <v>7</v>
      </c>
      <c r="B142" s="1" t="str">
        <f ca="1">IFERROR(__xludf.DUMMYFUNCTION("""COMPUTED_VALUE"""),"Benjamin")</f>
        <v>Benjamin</v>
      </c>
      <c r="C142" s="1" t="str">
        <f ca="1">IFERROR(__xludf.DUMMYFUNCTION("""COMPUTED_VALUE"""),"Barfoot")</f>
        <v>Barfoot</v>
      </c>
      <c r="D142" s="1" t="str">
        <f ca="1">IFERROR(__xludf.DUMMYFUNCTION("""COMPUTED_VALUE"""),"Chesterfield")</f>
        <v>Chesterfield</v>
      </c>
      <c r="E142" s="4">
        <f ca="1">IFERROR(__xludf.DUMMYFUNCTION("""COMPUTED_VALUE"""),13.1)</f>
        <v>13.1</v>
      </c>
      <c r="F142" s="1"/>
    </row>
    <row r="143" spans="1:6" x14ac:dyDescent="0.2">
      <c r="A143" s="3" t="str">
        <f ca="1">IFERROR(__xludf.DUMMYFUNCTION("""COMPUTED_VALUE"""),"U14 Boys 100m B Race")</f>
        <v>U14 Boys 100m B Race</v>
      </c>
      <c r="B143" s="3"/>
      <c r="C143" s="3" t="str">
        <f ca="1">IFERROR(__xludf.DUMMYFUNCTION("""COMPUTED_VALUE"""),"Wind speed")</f>
        <v>Wind speed</v>
      </c>
      <c r="D143" s="8">
        <f ca="1">IFERROR(__xludf.DUMMYFUNCTION("""COMPUTED_VALUE"""),-2)</f>
        <v>-2</v>
      </c>
      <c r="E143" s="3"/>
      <c r="F143" s="1"/>
    </row>
    <row r="144" spans="1:6" x14ac:dyDescent="0.2">
      <c r="A144" s="1">
        <f ca="1">IFERROR(__xludf.DUMMYFUNCTION("""COMPUTED_VALUE"""),111)</f>
        <v>111</v>
      </c>
      <c r="B144" s="1" t="str">
        <f ca="1">IFERROR(__xludf.DUMMYFUNCTION("""COMPUTED_VALUE"""),"Jake")</f>
        <v>Jake</v>
      </c>
      <c r="C144" s="1" t="str">
        <f ca="1">IFERROR(__xludf.DUMMYFUNCTION("""COMPUTED_VALUE"""),"Newell")</f>
        <v>Newell</v>
      </c>
      <c r="D144" s="1" t="str">
        <f ca="1">IFERROR(__xludf.DUMMYFUNCTION("""COMPUTED_VALUE"""),"Barton")</f>
        <v>Barton</v>
      </c>
      <c r="E144" s="4">
        <f ca="1">IFERROR(__xludf.DUMMYFUNCTION("""COMPUTED_VALUE"""),12.84)</f>
        <v>12.84</v>
      </c>
      <c r="F144" s="1"/>
    </row>
    <row r="145" spans="1:6" x14ac:dyDescent="0.2">
      <c r="A145" s="1">
        <f ca="1">IFERROR(__xludf.DUMMYFUNCTION("""COMPUTED_VALUE"""),509)</f>
        <v>509</v>
      </c>
      <c r="B145" s="1" t="str">
        <f ca="1">IFERROR(__xludf.DUMMYFUNCTION("""COMPUTED_VALUE"""),"Max")</f>
        <v>Max</v>
      </c>
      <c r="C145" s="1" t="str">
        <f ca="1">IFERROR(__xludf.DUMMYFUNCTION("""COMPUTED_VALUE"""),"Cook")</f>
        <v>Cook</v>
      </c>
      <c r="D145" s="1" t="str">
        <f ca="1">IFERROR(__xludf.DUMMYFUNCTION("""COMPUTED_VALUE"""),"Doncaster")</f>
        <v>Doncaster</v>
      </c>
      <c r="E145" s="4">
        <f ca="1">IFERROR(__xludf.DUMMYFUNCTION("""COMPUTED_VALUE"""),13.2)</f>
        <v>13.2</v>
      </c>
      <c r="F145" s="1"/>
    </row>
    <row r="146" spans="1:6" x14ac:dyDescent="0.2">
      <c r="A146" s="1">
        <f ca="1">IFERROR(__xludf.DUMMYFUNCTION("""COMPUTED_VALUE"""),408)</f>
        <v>408</v>
      </c>
      <c r="B146" s="1" t="str">
        <f ca="1">IFERROR(__xludf.DUMMYFUNCTION("""COMPUTED_VALUE"""),"Stephen")</f>
        <v>Stephen</v>
      </c>
      <c r="C146" s="1" t="str">
        <f ca="1">IFERROR(__xludf.DUMMYFUNCTION("""COMPUTED_VALUE"""),"Amaechi")</f>
        <v>Amaechi</v>
      </c>
      <c r="D146" s="1" t="str">
        <f ca="1">IFERROR(__xludf.DUMMYFUNCTION("""COMPUTED_VALUE"""),"Notts")</f>
        <v>Notts</v>
      </c>
      <c r="E146" s="4">
        <f ca="1">IFERROR(__xludf.DUMMYFUNCTION("""COMPUTED_VALUE"""),13.68)</f>
        <v>13.68</v>
      </c>
      <c r="F146" s="1"/>
    </row>
    <row r="147" spans="1:6" x14ac:dyDescent="0.2">
      <c r="A147" s="1">
        <f ca="1">IFERROR(__xludf.DUMMYFUNCTION("""COMPUTED_VALUE"""),8)</f>
        <v>8</v>
      </c>
      <c r="B147" s="1" t="str">
        <f ca="1">IFERROR(__xludf.DUMMYFUNCTION("""COMPUTED_VALUE"""),"Owen")</f>
        <v>Owen</v>
      </c>
      <c r="C147" s="1" t="str">
        <f ca="1">IFERROR(__xludf.DUMMYFUNCTION("""COMPUTED_VALUE"""),"Rawlinson")</f>
        <v>Rawlinson</v>
      </c>
      <c r="D147" s="1" t="str">
        <f ca="1">IFERROR(__xludf.DUMMYFUNCTION("""COMPUTED_VALUE"""),"High Peak AC")</f>
        <v>High Peak AC</v>
      </c>
      <c r="E147" s="4">
        <f ca="1">IFERROR(__xludf.DUMMYFUNCTION("""COMPUTED_VALUE"""),13.87)</f>
        <v>13.87</v>
      </c>
      <c r="F147" s="1"/>
    </row>
    <row r="148" spans="1:6" x14ac:dyDescent="0.2">
      <c r="A148" s="1">
        <f ca="1">IFERROR(__xludf.DUMMYFUNCTION("""COMPUTED_VALUE"""),310)</f>
        <v>310</v>
      </c>
      <c r="B148" s="1" t="str">
        <f ca="1">IFERROR(__xludf.DUMMYFUNCTION("""COMPUTED_VALUE"""),"Max")</f>
        <v>Max</v>
      </c>
      <c r="C148" s="1" t="str">
        <f ca="1">IFERROR(__xludf.DUMMYFUNCTION("""COMPUTED_VALUE"""),"Norburn")</f>
        <v>Norburn</v>
      </c>
      <c r="D148" s="1" t="str">
        <f ca="1">IFERROR(__xludf.DUMMYFUNCTION("""COMPUTED_VALUE"""),"LWAC")</f>
        <v>LWAC</v>
      </c>
      <c r="E148" s="4">
        <f ca="1">IFERROR(__xludf.DUMMYFUNCTION("""COMPUTED_VALUE"""),14.52)</f>
        <v>14.52</v>
      </c>
      <c r="F148" s="1"/>
    </row>
    <row r="149" spans="1:6" x14ac:dyDescent="0.2">
      <c r="A149" s="3" t="str">
        <f ca="1">IFERROR(__xludf.DUMMYFUNCTION("""COMPUTED_VALUE"""),"U14 Girls 100m A Race")</f>
        <v>U14 Girls 100m A Race</v>
      </c>
      <c r="B149" s="3"/>
      <c r="C149" s="3" t="str">
        <f ca="1">IFERROR(__xludf.DUMMYFUNCTION("""COMPUTED_VALUE"""),"Wind speed")</f>
        <v>Wind speed</v>
      </c>
      <c r="D149" s="3">
        <f ca="1">IFERROR(__xludf.DUMMYFUNCTION("""COMPUTED_VALUE"""),-3.1)</f>
        <v>-3.1</v>
      </c>
      <c r="E149" s="3"/>
      <c r="F149" s="1"/>
    </row>
    <row r="150" spans="1:6" x14ac:dyDescent="0.2">
      <c r="A150" s="1">
        <f ca="1">IFERROR(__xludf.DUMMYFUNCTION("""COMPUTED_VALUE"""),533)</f>
        <v>533</v>
      </c>
      <c r="B150" s="1" t="str">
        <f ca="1">IFERROR(__xludf.DUMMYFUNCTION("""COMPUTED_VALUE"""),"Cheryl")</f>
        <v>Cheryl</v>
      </c>
      <c r="C150" s="1" t="str">
        <f ca="1">IFERROR(__xludf.DUMMYFUNCTION("""COMPUTED_VALUE"""),"Nwachukwa")</f>
        <v>Nwachukwa</v>
      </c>
      <c r="D150" s="1" t="str">
        <f ca="1">IFERROR(__xludf.DUMMYFUNCTION("""COMPUTED_VALUE"""),"Doncaster")</f>
        <v>Doncaster</v>
      </c>
      <c r="E150" s="4">
        <f ca="1">IFERROR(__xludf.DUMMYFUNCTION("""COMPUTED_VALUE"""),13.2)</f>
        <v>13.2</v>
      </c>
      <c r="F150" s="1"/>
    </row>
    <row r="151" spans="1:6" x14ac:dyDescent="0.2">
      <c r="A151" s="1">
        <f ca="1">IFERROR(__xludf.DUMMYFUNCTION("""COMPUTED_VALUE"""),34)</f>
        <v>34</v>
      </c>
      <c r="B151" s="1" t="str">
        <f ca="1">IFERROR(__xludf.DUMMYFUNCTION("""COMPUTED_VALUE"""),"Mercy")</f>
        <v>Mercy</v>
      </c>
      <c r="C151" s="1" t="str">
        <f ca="1">IFERROR(__xludf.DUMMYFUNCTION("""COMPUTED_VALUE"""),"Adeosun")</f>
        <v>Adeosun</v>
      </c>
      <c r="D151" s="1" t="str">
        <f ca="1">IFERROR(__xludf.DUMMYFUNCTION("""COMPUTED_VALUE"""),"Burton")</f>
        <v>Burton</v>
      </c>
      <c r="E151" s="4">
        <f ca="1">IFERROR(__xludf.DUMMYFUNCTION("""COMPUTED_VALUE"""),13.3)</f>
        <v>13.3</v>
      </c>
      <c r="F151" s="1"/>
    </row>
    <row r="152" spans="1:6" x14ac:dyDescent="0.2">
      <c r="A152" s="1">
        <f ca="1">IFERROR(__xludf.DUMMYFUNCTION("""COMPUTED_VALUE"""),439)</f>
        <v>439</v>
      </c>
      <c r="B152" s="1" t="str">
        <f ca="1">IFERROR(__xludf.DUMMYFUNCTION("""COMPUTED_VALUE"""),"Natasha")</f>
        <v>Natasha</v>
      </c>
      <c r="C152" s="1" t="str">
        <f ca="1">IFERROR(__xludf.DUMMYFUNCTION("""COMPUTED_VALUE"""),"Milburn")</f>
        <v>Milburn</v>
      </c>
      <c r="D152" s="1" t="str">
        <f ca="1">IFERROR(__xludf.DUMMYFUNCTION("""COMPUTED_VALUE"""),"Rushcliffe")</f>
        <v>Rushcliffe</v>
      </c>
      <c r="E152" s="4">
        <f ca="1">IFERROR(__xludf.DUMMYFUNCTION("""COMPUTED_VALUE"""),13.64)</f>
        <v>13.64</v>
      </c>
      <c r="F152" s="1"/>
    </row>
    <row r="153" spans="1:6" x14ac:dyDescent="0.2">
      <c r="A153" s="1">
        <f ca="1">IFERROR(__xludf.DUMMYFUNCTION("""COMPUTED_VALUE"""),333)</f>
        <v>333</v>
      </c>
      <c r="B153" s="1" t="str">
        <f ca="1">IFERROR(__xludf.DUMMYFUNCTION("""COMPUTED_VALUE"""),"Georgia")</f>
        <v>Georgia</v>
      </c>
      <c r="C153" s="1" t="str">
        <f ca="1">IFERROR(__xludf.DUMMYFUNCTION("""COMPUTED_VALUE"""),"Marriott")</f>
        <v>Marriott</v>
      </c>
      <c r="D153" s="1" t="str">
        <f ca="1">IFERROR(__xludf.DUMMYFUNCTION("""COMPUTED_VALUE"""),"LWAC")</f>
        <v>LWAC</v>
      </c>
      <c r="E153" s="4">
        <f ca="1">IFERROR(__xludf.DUMMYFUNCTION("""COMPUTED_VALUE"""),13.91)</f>
        <v>13.91</v>
      </c>
      <c r="F153" s="1"/>
    </row>
    <row r="154" spans="1:6" x14ac:dyDescent="0.2">
      <c r="A154" s="1">
        <f ca="1">IFERROR(__xludf.DUMMYFUNCTION("""COMPUTED_VALUE"""),141)</f>
        <v>141</v>
      </c>
      <c r="B154" s="1" t="str">
        <f ca="1">IFERROR(__xludf.DUMMYFUNCTION("""COMPUTED_VALUE"""),"Mila")</f>
        <v>Mila</v>
      </c>
      <c r="C154" s="1" t="str">
        <f ca="1">IFERROR(__xludf.DUMMYFUNCTION("""COMPUTED_VALUE"""),"Telford")</f>
        <v>Telford</v>
      </c>
      <c r="D154" s="1" t="str">
        <f ca="1">IFERROR(__xludf.DUMMYFUNCTION("""COMPUTED_VALUE"""),"KUHAC")</f>
        <v>KUHAC</v>
      </c>
      <c r="E154" s="4">
        <f ca="1">IFERROR(__xludf.DUMMYFUNCTION("""COMPUTED_VALUE"""),14.35)</f>
        <v>14.35</v>
      </c>
      <c r="F154" s="1"/>
    </row>
    <row r="155" spans="1:6" x14ac:dyDescent="0.2">
      <c r="A155" s="3" t="str">
        <f ca="1">IFERROR(__xludf.DUMMYFUNCTION("""COMPUTED_VALUE"""),"U14 Girls 100m B Race")</f>
        <v>U14 Girls 100m B Race</v>
      </c>
      <c r="B155" s="3"/>
      <c r="C155" s="3" t="str">
        <f ca="1">IFERROR(__xludf.DUMMYFUNCTION("""COMPUTED_VALUE"""),"Wind speed")</f>
        <v>Wind speed</v>
      </c>
      <c r="D155" s="8">
        <f ca="1">IFERROR(__xludf.DUMMYFUNCTION("""COMPUTED_VALUE"""),-2)</f>
        <v>-2</v>
      </c>
      <c r="E155" s="3"/>
      <c r="F155" s="1"/>
    </row>
    <row r="156" spans="1:6" x14ac:dyDescent="0.2">
      <c r="A156" s="1">
        <f ca="1">IFERROR(__xludf.DUMMYFUNCTION("""COMPUTED_VALUE"""),334)</f>
        <v>334</v>
      </c>
      <c r="B156" s="1" t="str">
        <f ca="1">IFERROR(__xludf.DUMMYFUNCTION("""COMPUTED_VALUE"""),"Isabel")</f>
        <v>Isabel</v>
      </c>
      <c r="C156" s="1" t="str">
        <f ca="1">IFERROR(__xludf.DUMMYFUNCTION("""COMPUTED_VALUE"""),"Akande")</f>
        <v>Akande</v>
      </c>
      <c r="D156" s="1" t="str">
        <f ca="1">IFERROR(__xludf.DUMMYFUNCTION("""COMPUTED_VALUE"""),"LWAC")</f>
        <v>LWAC</v>
      </c>
      <c r="E156" s="4">
        <f ca="1">IFERROR(__xludf.DUMMYFUNCTION("""COMPUTED_VALUE"""),13.34)</f>
        <v>13.34</v>
      </c>
      <c r="F156" s="1"/>
    </row>
    <row r="157" spans="1:6" x14ac:dyDescent="0.2">
      <c r="A157" s="1">
        <f ca="1">IFERROR(__xludf.DUMMYFUNCTION("""COMPUTED_VALUE"""),440)</f>
        <v>440</v>
      </c>
      <c r="B157" s="1" t="str">
        <f ca="1">IFERROR(__xludf.DUMMYFUNCTION("""COMPUTED_VALUE"""),"Amiyah")</f>
        <v>Amiyah</v>
      </c>
      <c r="C157" s="1" t="str">
        <f ca="1">IFERROR(__xludf.DUMMYFUNCTION("""COMPUTED_VALUE"""),"Cooper")</f>
        <v>Cooper</v>
      </c>
      <c r="D157" s="1" t="str">
        <f ca="1">IFERROR(__xludf.DUMMYFUNCTION("""COMPUTED_VALUE"""),"Notts")</f>
        <v>Notts</v>
      </c>
      <c r="E157" s="4">
        <f ca="1">IFERROR(__xludf.DUMMYFUNCTION("""COMPUTED_VALUE"""),13.39)</f>
        <v>13.39</v>
      </c>
      <c r="F157" s="1"/>
    </row>
    <row r="158" spans="1:6" x14ac:dyDescent="0.2">
      <c r="A158" s="1">
        <f ca="1">IFERROR(__xludf.DUMMYFUNCTION("""COMPUTED_VALUE"""),534)</f>
        <v>534</v>
      </c>
      <c r="B158" s="1" t="str">
        <f ca="1">IFERROR(__xludf.DUMMYFUNCTION("""COMPUTED_VALUE"""),"Neriah")</f>
        <v>Neriah</v>
      </c>
      <c r="C158" s="1" t="str">
        <f ca="1">IFERROR(__xludf.DUMMYFUNCTION("""COMPUTED_VALUE"""),"Beckford")</f>
        <v>Beckford</v>
      </c>
      <c r="D158" s="1" t="str">
        <f ca="1">IFERROR(__xludf.DUMMYFUNCTION("""COMPUTED_VALUE"""),"City of Sheffield")</f>
        <v>City of Sheffield</v>
      </c>
      <c r="E158" s="4">
        <f ca="1">IFERROR(__xludf.DUMMYFUNCTION("""COMPUTED_VALUE"""),13.45)</f>
        <v>13.45</v>
      </c>
      <c r="F158" s="1"/>
    </row>
    <row r="159" spans="1:6" x14ac:dyDescent="0.2">
      <c r="A159" s="1">
        <f ca="1">IFERROR(__xludf.DUMMYFUNCTION("""COMPUTED_VALUE"""),35)</f>
        <v>35</v>
      </c>
      <c r="B159" s="1" t="str">
        <f ca="1">IFERROR(__xludf.DUMMYFUNCTION("""COMPUTED_VALUE"""),"Annabelle")</f>
        <v>Annabelle</v>
      </c>
      <c r="C159" s="1" t="str">
        <f ca="1">IFERROR(__xludf.DUMMYFUNCTION("""COMPUTED_VALUE"""),"Sturt")</f>
        <v>Sturt</v>
      </c>
      <c r="D159" s="1" t="str">
        <f ca="1">IFERROR(__xludf.DUMMYFUNCTION("""COMPUTED_VALUE"""),"Burton")</f>
        <v>Burton</v>
      </c>
      <c r="E159" s="4">
        <f ca="1">IFERROR(__xludf.DUMMYFUNCTION("""COMPUTED_VALUE"""),13.7)</f>
        <v>13.7</v>
      </c>
      <c r="F159" s="1"/>
    </row>
    <row r="160" spans="1:6" x14ac:dyDescent="0.2">
      <c r="A160" s="1">
        <f ca="1">IFERROR(__xludf.DUMMYFUNCTION("""COMPUTED_VALUE"""),142)</f>
        <v>142</v>
      </c>
      <c r="B160" s="1" t="str">
        <f ca="1">IFERROR(__xludf.DUMMYFUNCTION("""COMPUTED_VALUE"""),"Amelie")</f>
        <v>Amelie</v>
      </c>
      <c r="C160" s="1" t="str">
        <f ca="1">IFERROR(__xludf.DUMMYFUNCTION("""COMPUTED_VALUE"""),"Cole")</f>
        <v>Cole</v>
      </c>
      <c r="D160" s="1" t="str">
        <f ca="1">IFERROR(__xludf.DUMMYFUNCTION("""COMPUTED_VALUE"""),"KUHAC")</f>
        <v>KUHAC</v>
      </c>
      <c r="E160" s="4">
        <f ca="1">IFERROR(__xludf.DUMMYFUNCTION("""COMPUTED_VALUE"""),14.11)</f>
        <v>14.11</v>
      </c>
      <c r="F160" s="1"/>
    </row>
    <row r="161" spans="1:6" x14ac:dyDescent="0.2">
      <c r="A161" s="3" t="str">
        <f ca="1">IFERROR(__xludf.DUMMYFUNCTION("""COMPUTED_VALUE"""),"U16 Boys 100m A Race")</f>
        <v>U16 Boys 100m A Race</v>
      </c>
      <c r="B161" s="3"/>
      <c r="C161" s="3" t="str">
        <f ca="1">IFERROR(__xludf.DUMMYFUNCTION("""COMPUTED_VALUE"""),"Wind speed")</f>
        <v>Wind speed</v>
      </c>
      <c r="D161" s="3">
        <f ca="1">IFERROR(__xludf.DUMMYFUNCTION("""COMPUTED_VALUE"""),-3.1)</f>
        <v>-3.1</v>
      </c>
      <c r="E161" s="3"/>
      <c r="F161" s="1"/>
    </row>
    <row r="162" spans="1:6" x14ac:dyDescent="0.2">
      <c r="A162" s="1">
        <f ca="1">IFERROR(__xludf.DUMMYFUNCTION("""COMPUTED_VALUE"""),517)</f>
        <v>517</v>
      </c>
      <c r="B162" s="1" t="str">
        <f ca="1">IFERROR(__xludf.DUMMYFUNCTION("""COMPUTED_VALUE"""),"Ryan")</f>
        <v>Ryan</v>
      </c>
      <c r="C162" s="1" t="str">
        <f ca="1">IFERROR(__xludf.DUMMYFUNCTION("""COMPUTED_VALUE"""),"Hatcher")</f>
        <v>Hatcher</v>
      </c>
      <c r="D162" s="1" t="str">
        <f ca="1">IFERROR(__xludf.DUMMYFUNCTION("""COMPUTED_VALUE"""),"Hallamshire")</f>
        <v>Hallamshire</v>
      </c>
      <c r="E162" s="4">
        <f ca="1">IFERROR(__xludf.DUMMYFUNCTION("""COMPUTED_VALUE"""),11.85)</f>
        <v>11.85</v>
      </c>
      <c r="F162" s="1"/>
    </row>
    <row r="163" spans="1:6" x14ac:dyDescent="0.2">
      <c r="A163" s="1">
        <f ca="1">IFERROR(__xludf.DUMMYFUNCTION("""COMPUTED_VALUE"""),318)</f>
        <v>318</v>
      </c>
      <c r="B163" s="1" t="str">
        <f ca="1">IFERROR(__xludf.DUMMYFUNCTION("""COMPUTED_VALUE"""),"Kyan")</f>
        <v>Kyan</v>
      </c>
      <c r="C163" s="1" t="str">
        <f ca="1">IFERROR(__xludf.DUMMYFUNCTION("""COMPUTED_VALUE"""),"Savage")</f>
        <v>Savage</v>
      </c>
      <c r="D163" s="1" t="str">
        <f ca="1">IFERROR(__xludf.DUMMYFUNCTION("""COMPUTED_VALUE"""),"LWAC")</f>
        <v>LWAC</v>
      </c>
      <c r="E163" s="4">
        <f ca="1">IFERROR(__xludf.DUMMYFUNCTION("""COMPUTED_VALUE"""),12.4)</f>
        <v>12.4</v>
      </c>
      <c r="F163" s="1"/>
    </row>
    <row r="164" spans="1:6" x14ac:dyDescent="0.2">
      <c r="A164" s="1">
        <f ca="1">IFERROR(__xludf.DUMMYFUNCTION("""COMPUTED_VALUE"""),17)</f>
        <v>17</v>
      </c>
      <c r="B164" s="1" t="str">
        <f ca="1">IFERROR(__xludf.DUMMYFUNCTION("""COMPUTED_VALUE"""),"Callum")</f>
        <v>Callum</v>
      </c>
      <c r="C164" s="1" t="str">
        <f ca="1">IFERROR(__xludf.DUMMYFUNCTION("""COMPUTED_VALUE"""),"McFadyean")</f>
        <v>McFadyean</v>
      </c>
      <c r="D164" s="1" t="str">
        <f ca="1">IFERROR(__xludf.DUMMYFUNCTION("""COMPUTED_VALUE"""),"Burton")</f>
        <v>Burton</v>
      </c>
      <c r="E164" s="4">
        <f ca="1">IFERROR(__xludf.DUMMYFUNCTION("""COMPUTED_VALUE"""),12.52)</f>
        <v>12.52</v>
      </c>
      <c r="F164" s="1"/>
    </row>
    <row r="165" spans="1:6" x14ac:dyDescent="0.2">
      <c r="A165" s="1">
        <f ca="1">IFERROR(__xludf.DUMMYFUNCTION("""COMPUTED_VALUE"""),418)</f>
        <v>418</v>
      </c>
      <c r="B165" s="1" t="str">
        <f ca="1">IFERROR(__xludf.DUMMYFUNCTION("""COMPUTED_VALUE"""),"Charlie")</f>
        <v>Charlie</v>
      </c>
      <c r="C165" s="1" t="str">
        <f ca="1">IFERROR(__xludf.DUMMYFUNCTION("""COMPUTED_VALUE"""),"Smith")</f>
        <v>Smith</v>
      </c>
      <c r="D165" s="1" t="str">
        <f ca="1">IFERROR(__xludf.DUMMYFUNCTION("""COMPUTED_VALUE"""),"Rushcliffe")</f>
        <v>Rushcliffe</v>
      </c>
      <c r="E165" s="4">
        <f ca="1">IFERROR(__xludf.DUMMYFUNCTION("""COMPUTED_VALUE"""),12.79)</f>
        <v>12.79</v>
      </c>
      <c r="F165" s="1"/>
    </row>
    <row r="166" spans="1:6" x14ac:dyDescent="0.2">
      <c r="A166" s="1">
        <f ca="1">IFERROR(__xludf.DUMMYFUNCTION("""COMPUTED_VALUE"""),121)</f>
        <v>121</v>
      </c>
      <c r="B166" s="1" t="str">
        <f ca="1">IFERROR(__xludf.DUMMYFUNCTION("""COMPUTED_VALUE"""),"Ethan")</f>
        <v>Ethan</v>
      </c>
      <c r="C166" s="1" t="str">
        <f ca="1">IFERROR(__xludf.DUMMYFUNCTION("""COMPUTED_VALUE"""),"Borrill-Townsend")</f>
        <v>Borrill-Townsend</v>
      </c>
      <c r="D166" s="1" t="str">
        <f ca="1">IFERROR(__xludf.DUMMYFUNCTION("""COMPUTED_VALUE"""),"Grimsby")</f>
        <v>Grimsby</v>
      </c>
      <c r="E166" s="4">
        <f ca="1">IFERROR(__xludf.DUMMYFUNCTION("""COMPUTED_VALUE"""),12.89)</f>
        <v>12.89</v>
      </c>
      <c r="F166" s="1"/>
    </row>
    <row r="167" spans="1:6" x14ac:dyDescent="0.2">
      <c r="A167" s="3" t="str">
        <f ca="1">IFERROR(__xludf.DUMMYFUNCTION("""COMPUTED_VALUE"""),"U16 Boys 100m B Race")</f>
        <v>U16 Boys 100m B Race</v>
      </c>
      <c r="B167" s="3"/>
      <c r="C167" s="3" t="str">
        <f ca="1">IFERROR(__xludf.DUMMYFUNCTION("""COMPUTED_VALUE"""),"Wind speed")</f>
        <v>Wind speed</v>
      </c>
      <c r="D167" s="3">
        <f ca="1">IFERROR(__xludf.DUMMYFUNCTION("""COMPUTED_VALUE"""),-2.5)</f>
        <v>-2.5</v>
      </c>
      <c r="E167" s="3"/>
      <c r="F167" s="1"/>
    </row>
    <row r="168" spans="1:6" x14ac:dyDescent="0.2">
      <c r="A168" s="1">
        <f ca="1">IFERROR(__xludf.DUMMYFUNCTION("""COMPUTED_VALUE"""),419)</f>
        <v>419</v>
      </c>
      <c r="B168" s="1" t="str">
        <f ca="1">IFERROR(__xludf.DUMMYFUNCTION("""COMPUTED_VALUE"""),"Fergal")</f>
        <v>Fergal</v>
      </c>
      <c r="C168" s="1" t="str">
        <f ca="1">IFERROR(__xludf.DUMMYFUNCTION("""COMPUTED_VALUE"""),"Giltinan")</f>
        <v>Giltinan</v>
      </c>
      <c r="D168" s="1" t="str">
        <f ca="1">IFERROR(__xludf.DUMMYFUNCTION("""COMPUTED_VALUE"""),"Rushcliffe")</f>
        <v>Rushcliffe</v>
      </c>
      <c r="E168" s="4">
        <f ca="1">IFERROR(__xludf.DUMMYFUNCTION("""COMPUTED_VALUE"""),12.44)</f>
        <v>12.44</v>
      </c>
      <c r="F168" s="1"/>
    </row>
    <row r="169" spans="1:6" x14ac:dyDescent="0.2">
      <c r="A169" s="1">
        <f ca="1">IFERROR(__xludf.DUMMYFUNCTION("""COMPUTED_VALUE"""),518)</f>
        <v>518</v>
      </c>
      <c r="B169" s="1" t="str">
        <f ca="1">IFERROR(__xludf.DUMMYFUNCTION("""COMPUTED_VALUE"""),"Thomas")</f>
        <v>Thomas</v>
      </c>
      <c r="C169" s="1" t="str">
        <f ca="1">IFERROR(__xludf.DUMMYFUNCTION("""COMPUTED_VALUE"""),"Clark")</f>
        <v>Clark</v>
      </c>
      <c r="D169" s="1" t="str">
        <f ca="1">IFERROR(__xludf.DUMMYFUNCTION("""COMPUTED_VALUE"""),"Barnsley")</f>
        <v>Barnsley</v>
      </c>
      <c r="E169" s="4">
        <f ca="1">IFERROR(__xludf.DUMMYFUNCTION("""COMPUTED_VALUE"""),12.61)</f>
        <v>12.61</v>
      </c>
      <c r="F169" s="1"/>
    </row>
    <row r="170" spans="1:6" x14ac:dyDescent="0.2">
      <c r="A170" s="1">
        <f ca="1">IFERROR(__xludf.DUMMYFUNCTION("""COMPUTED_VALUE"""),122)</f>
        <v>122</v>
      </c>
      <c r="B170" s="1" t="str">
        <f ca="1">IFERROR(__xludf.DUMMYFUNCTION("""COMPUTED_VALUE"""),"Harry")</f>
        <v>Harry</v>
      </c>
      <c r="C170" s="1" t="str">
        <f ca="1">IFERROR(__xludf.DUMMYFUNCTION("""COMPUTED_VALUE"""),"Sargent")</f>
        <v>Sargent</v>
      </c>
      <c r="D170" s="1" t="str">
        <f ca="1">IFERROR(__xludf.DUMMYFUNCTION("""COMPUTED_VALUE"""),"Scunthorpe")</f>
        <v>Scunthorpe</v>
      </c>
      <c r="E170" s="4">
        <f ca="1">IFERROR(__xludf.DUMMYFUNCTION("""COMPUTED_VALUE"""),12.99)</f>
        <v>12.99</v>
      </c>
      <c r="F170" s="1"/>
    </row>
    <row r="171" spans="1:6" x14ac:dyDescent="0.2">
      <c r="A171" s="1">
        <f ca="1">IFERROR(__xludf.DUMMYFUNCTION("""COMPUTED_VALUE"""),18)</f>
        <v>18</v>
      </c>
      <c r="B171" s="1" t="str">
        <f ca="1">IFERROR(__xludf.DUMMYFUNCTION("""COMPUTED_VALUE"""),"Charlie")</f>
        <v>Charlie</v>
      </c>
      <c r="C171" s="1" t="str">
        <f ca="1">IFERROR(__xludf.DUMMYFUNCTION("""COMPUTED_VALUE"""),"Wardle")</f>
        <v>Wardle</v>
      </c>
      <c r="D171" s="1" t="str">
        <f ca="1">IFERROR(__xludf.DUMMYFUNCTION("""COMPUTED_VALUE"""),"High Peak")</f>
        <v>High Peak</v>
      </c>
      <c r="E171" s="4">
        <f ca="1">IFERROR(__xludf.DUMMYFUNCTION("""COMPUTED_VALUE"""),13.73)</f>
        <v>13.73</v>
      </c>
      <c r="F171" s="1"/>
    </row>
    <row r="172" spans="1:6" x14ac:dyDescent="0.2">
      <c r="A172" s="3" t="str">
        <f ca="1">IFERROR(__xludf.DUMMYFUNCTION("""COMPUTED_VALUE"""),"U16 Girls 100m A Race")</f>
        <v>U16 Girls 100m A Race</v>
      </c>
      <c r="B172" s="3"/>
      <c r="C172" s="3" t="str">
        <f ca="1">IFERROR(__xludf.DUMMYFUNCTION("""COMPUTED_VALUE"""),"Wind speed")</f>
        <v>Wind speed</v>
      </c>
      <c r="D172" s="3">
        <f ca="1">IFERROR(__xludf.DUMMYFUNCTION("""COMPUTED_VALUE"""),-3.2)</f>
        <v>-3.2</v>
      </c>
      <c r="E172" s="3"/>
      <c r="F172" s="1"/>
    </row>
    <row r="173" spans="1:6" x14ac:dyDescent="0.2">
      <c r="A173" s="1">
        <f ca="1">IFERROR(__xludf.DUMMYFUNCTION("""COMPUTED_VALUE"""),47)</f>
        <v>47</v>
      </c>
      <c r="B173" s="1" t="str">
        <f ca="1">IFERROR(__xludf.DUMMYFUNCTION("""COMPUTED_VALUE"""),"Antoniah")</f>
        <v>Antoniah</v>
      </c>
      <c r="C173" s="1" t="str">
        <f ca="1">IFERROR(__xludf.DUMMYFUNCTION("""COMPUTED_VALUE"""),"Kinsiona")</f>
        <v>Kinsiona</v>
      </c>
      <c r="D173" s="1" t="str">
        <f ca="1">IFERROR(__xludf.DUMMYFUNCTION("""COMPUTED_VALUE"""),"Chesterfield")</f>
        <v>Chesterfield</v>
      </c>
      <c r="E173" s="4">
        <f ca="1">IFERROR(__xludf.DUMMYFUNCTION("""COMPUTED_VALUE"""),12.88)</f>
        <v>12.88</v>
      </c>
      <c r="F173" s="1"/>
    </row>
    <row r="174" spans="1:6" x14ac:dyDescent="0.2">
      <c r="A174" s="1">
        <f ca="1">IFERROR(__xludf.DUMMYFUNCTION("""COMPUTED_VALUE"""),154)</f>
        <v>154</v>
      </c>
      <c r="B174" s="1" t="str">
        <f ca="1">IFERROR(__xludf.DUMMYFUNCTION("""COMPUTED_VALUE"""),"Lily")</f>
        <v>Lily</v>
      </c>
      <c r="C174" s="1" t="str">
        <f ca="1">IFERROR(__xludf.DUMMYFUNCTION("""COMPUTED_VALUE"""),"Hainsworth")</f>
        <v>Hainsworth</v>
      </c>
      <c r="D174" s="1" t="str">
        <f ca="1">IFERROR(__xludf.DUMMYFUNCTION("""COMPUTED_VALUE"""),"KUHAC")</f>
        <v>KUHAC</v>
      </c>
      <c r="E174" s="4">
        <f ca="1">IFERROR(__xludf.DUMMYFUNCTION("""COMPUTED_VALUE"""),13.09)</f>
        <v>13.09</v>
      </c>
      <c r="F174" s="1"/>
    </row>
    <row r="175" spans="1:6" x14ac:dyDescent="0.2">
      <c r="A175" s="1">
        <f ca="1">IFERROR(__xludf.DUMMYFUNCTION("""COMPUTED_VALUE"""),542)</f>
        <v>542</v>
      </c>
      <c r="B175" s="1" t="str">
        <f ca="1">IFERROR(__xludf.DUMMYFUNCTION("""COMPUTED_VALUE"""),"Sophie")</f>
        <v>Sophie</v>
      </c>
      <c r="C175" s="1" t="str">
        <f ca="1">IFERROR(__xludf.DUMMYFUNCTION("""COMPUTED_VALUE"""),"Torossian")</f>
        <v>Torossian</v>
      </c>
      <c r="D175" s="1" t="str">
        <f ca="1">IFERROR(__xludf.DUMMYFUNCTION("""COMPUTED_VALUE"""),"City of Sheffield")</f>
        <v>City of Sheffield</v>
      </c>
      <c r="E175" s="4">
        <f ca="1">IFERROR(__xludf.DUMMYFUNCTION("""COMPUTED_VALUE"""),13.21)</f>
        <v>13.21</v>
      </c>
      <c r="F175" s="1"/>
    </row>
    <row r="176" spans="1:6" x14ac:dyDescent="0.2">
      <c r="A176" s="1">
        <f ca="1">IFERROR(__xludf.DUMMYFUNCTION("""COMPUTED_VALUE"""),449)</f>
        <v>449</v>
      </c>
      <c r="B176" s="1" t="str">
        <f ca="1">IFERROR(__xludf.DUMMYFUNCTION("""COMPUTED_VALUE"""),"Abigail")</f>
        <v>Abigail</v>
      </c>
      <c r="C176" s="1" t="str">
        <f ca="1">IFERROR(__xludf.DUMMYFUNCTION("""COMPUTED_VALUE"""),"Sheppard-Howe")</f>
        <v>Sheppard-Howe</v>
      </c>
      <c r="D176" s="1" t="str">
        <f ca="1">IFERROR(__xludf.DUMMYFUNCTION("""COMPUTED_VALUE"""),"Notts")</f>
        <v>Notts</v>
      </c>
      <c r="E176" s="4">
        <f ca="1">IFERROR(__xludf.DUMMYFUNCTION("""COMPUTED_VALUE"""),13.28)</f>
        <v>13.28</v>
      </c>
      <c r="F176" s="1"/>
    </row>
    <row r="177" spans="1:6" x14ac:dyDescent="0.2">
      <c r="A177" s="1">
        <f ca="1">IFERROR(__xludf.DUMMYFUNCTION("""COMPUTED_VALUE"""),342)</f>
        <v>342</v>
      </c>
      <c r="B177" s="1" t="str">
        <f ca="1">IFERROR(__xludf.DUMMYFUNCTION("""COMPUTED_VALUE"""),"Darcey")</f>
        <v>Darcey</v>
      </c>
      <c r="C177" s="1" t="str">
        <f ca="1">IFERROR(__xludf.DUMMYFUNCTION("""COMPUTED_VALUE"""),"Wood")</f>
        <v>Wood</v>
      </c>
      <c r="D177" s="1" t="str">
        <f ca="1">IFERROR(__xludf.DUMMYFUNCTION("""COMPUTED_VALUE"""),"Grantham AC")</f>
        <v>Grantham AC</v>
      </c>
      <c r="E177" s="4">
        <f ca="1">IFERROR(__xludf.DUMMYFUNCTION("""COMPUTED_VALUE"""),14.01)</f>
        <v>14.01</v>
      </c>
      <c r="F177" s="1"/>
    </row>
    <row r="178" spans="1:6" x14ac:dyDescent="0.2">
      <c r="A178" s="3" t="str">
        <f ca="1">IFERROR(__xludf.DUMMYFUNCTION("""COMPUTED_VALUE"""),"U16 Girls 100m B Race")</f>
        <v>U16 Girls 100m B Race</v>
      </c>
      <c r="B178" s="3"/>
      <c r="C178" s="3" t="str">
        <f ca="1">IFERROR(__xludf.DUMMYFUNCTION("""COMPUTED_VALUE"""),"Wind speed")</f>
        <v>Wind speed</v>
      </c>
      <c r="D178" s="3">
        <v>-1.8</v>
      </c>
      <c r="E178" s="3"/>
      <c r="F178" s="1"/>
    </row>
    <row r="179" spans="1:6" x14ac:dyDescent="0.2">
      <c r="A179" s="1">
        <f ca="1">IFERROR(__xludf.DUMMYFUNCTION("""COMPUTED_VALUE"""),48)</f>
        <v>48</v>
      </c>
      <c r="B179" s="1" t="str">
        <f ca="1">IFERROR(__xludf.DUMMYFUNCTION("""COMPUTED_VALUE"""),"Jasmine")</f>
        <v>Jasmine</v>
      </c>
      <c r="C179" s="1" t="str">
        <f ca="1">IFERROR(__xludf.DUMMYFUNCTION("""COMPUTED_VALUE"""),"Upton")</f>
        <v>Upton</v>
      </c>
      <c r="D179" s="1" t="str">
        <f ca="1">IFERROR(__xludf.DUMMYFUNCTION("""COMPUTED_VALUE"""),"Burton")</f>
        <v>Burton</v>
      </c>
      <c r="E179" s="4">
        <f ca="1">IFERROR(__xludf.DUMMYFUNCTION("""COMPUTED_VALUE"""),13.44)</f>
        <v>13.44</v>
      </c>
      <c r="F179" s="1"/>
    </row>
    <row r="180" spans="1:6" x14ac:dyDescent="0.2">
      <c r="A180" s="1">
        <f ca="1">IFERROR(__xludf.DUMMYFUNCTION("""COMPUTED_VALUE"""),543)</f>
        <v>543</v>
      </c>
      <c r="B180" s="1" t="str">
        <f ca="1">IFERROR(__xludf.DUMMYFUNCTION("""COMPUTED_VALUE"""),"April")</f>
        <v>April</v>
      </c>
      <c r="C180" s="1" t="str">
        <f ca="1">IFERROR(__xludf.DUMMYFUNCTION("""COMPUTED_VALUE"""),"Richardson")</f>
        <v>Richardson</v>
      </c>
      <c r="D180" s="1" t="str">
        <f ca="1">IFERROR(__xludf.DUMMYFUNCTION("""COMPUTED_VALUE"""),"Hallamshire")</f>
        <v>Hallamshire</v>
      </c>
      <c r="E180" s="4">
        <f ca="1">IFERROR(__xludf.DUMMYFUNCTION("""COMPUTED_VALUE"""),13.6)</f>
        <v>13.6</v>
      </c>
      <c r="F180" s="1"/>
    </row>
    <row r="181" spans="1:6" x14ac:dyDescent="0.2">
      <c r="A181" s="1">
        <f ca="1">IFERROR(__xludf.DUMMYFUNCTION("""COMPUTED_VALUE"""),155)</f>
        <v>155</v>
      </c>
      <c r="B181" s="1" t="str">
        <f ca="1">IFERROR(__xludf.DUMMYFUNCTION("""COMPUTED_VALUE"""),"Scarlett")</f>
        <v>Scarlett</v>
      </c>
      <c r="C181" s="1" t="str">
        <f ca="1">IFERROR(__xludf.DUMMYFUNCTION("""COMPUTED_VALUE"""),"Shann")</f>
        <v>Shann</v>
      </c>
      <c r="D181" s="1" t="str">
        <f ca="1">IFERROR(__xludf.DUMMYFUNCTION("""COMPUTED_VALUE"""),"KUHAC")</f>
        <v>KUHAC</v>
      </c>
      <c r="E181" s="4">
        <f ca="1">IFERROR(__xludf.DUMMYFUNCTION("""COMPUTED_VALUE"""),13.71)</f>
        <v>13.71</v>
      </c>
      <c r="F181" s="1"/>
    </row>
    <row r="182" spans="1:6" x14ac:dyDescent="0.2">
      <c r="A182" s="1">
        <f ca="1">IFERROR(__xludf.DUMMYFUNCTION("""COMPUTED_VALUE"""),450)</f>
        <v>450</v>
      </c>
      <c r="B182" s="1" t="str">
        <f ca="1">IFERROR(__xludf.DUMMYFUNCTION("""COMPUTED_VALUE"""),"Edee")</f>
        <v>Edee</v>
      </c>
      <c r="C182" s="1" t="str">
        <f ca="1">IFERROR(__xludf.DUMMYFUNCTION("""COMPUTED_VALUE"""),"Gascoyne")</f>
        <v>Gascoyne</v>
      </c>
      <c r="D182" s="1" t="str">
        <f ca="1">IFERROR(__xludf.DUMMYFUNCTION("""COMPUTED_VALUE"""),"Mansfield")</f>
        <v>Mansfield</v>
      </c>
      <c r="E182" s="4">
        <f ca="1">IFERROR(__xludf.DUMMYFUNCTION("""COMPUTED_VALUE"""),13.79)</f>
        <v>13.79</v>
      </c>
      <c r="F182" s="1"/>
    </row>
    <row r="183" spans="1:6" x14ac:dyDescent="0.2">
      <c r="A183" s="1">
        <f ca="1">IFERROR(__xludf.DUMMYFUNCTION("""COMPUTED_VALUE"""),343)</f>
        <v>343</v>
      </c>
      <c r="B183" s="1" t="str">
        <f ca="1">IFERROR(__xludf.DUMMYFUNCTION("""COMPUTED_VALUE"""),"Imogen")</f>
        <v>Imogen</v>
      </c>
      <c r="C183" s="1" t="str">
        <f ca="1">IFERROR(__xludf.DUMMYFUNCTION("""COMPUTED_VALUE"""),"Burgess")</f>
        <v>Burgess</v>
      </c>
      <c r="D183" s="1" t="str">
        <f ca="1">IFERROR(__xludf.DUMMYFUNCTION("""COMPUTED_VALUE"""),"LWAC")</f>
        <v>LWAC</v>
      </c>
      <c r="E183" s="4">
        <f ca="1">IFERROR(__xludf.DUMMYFUNCTION("""COMPUTED_VALUE"""),14.94)</f>
        <v>14.94</v>
      </c>
      <c r="F183" s="1"/>
    </row>
    <row r="184" spans="1:6" x14ac:dyDescent="0.2">
      <c r="A184" s="3" t="str">
        <f ca="1">IFERROR(__xludf.DUMMYFUNCTION("""COMPUTED_VALUE"""),"U12 Boys 150m  A Race")</f>
        <v>U12 Boys 150m  A Race</v>
      </c>
      <c r="B184" s="3"/>
      <c r="C184" s="3" t="str">
        <f ca="1">IFERROR(__xludf.DUMMYFUNCTION("""COMPUTED_VALUE"""),"Wind speed")</f>
        <v>Wind speed</v>
      </c>
      <c r="D184" s="3">
        <f ca="1">IFERROR(__xludf.DUMMYFUNCTION("""COMPUTED_VALUE"""),-4.4)</f>
        <v>-4.4000000000000004</v>
      </c>
      <c r="E184" s="3"/>
      <c r="F184" s="1"/>
    </row>
    <row r="185" spans="1:6" x14ac:dyDescent="0.2">
      <c r="A185" s="1">
        <f ca="1">IFERROR(__xludf.DUMMYFUNCTION("""COMPUTED_VALUE"""),100)</f>
        <v>100</v>
      </c>
      <c r="B185" s="1" t="str">
        <f ca="1">IFERROR(__xludf.DUMMYFUNCTION("""COMPUTED_VALUE"""),"Joshua")</f>
        <v>Joshua</v>
      </c>
      <c r="C185" s="1" t="str">
        <f ca="1">IFERROR(__xludf.DUMMYFUNCTION("""COMPUTED_VALUE"""),"McClane")</f>
        <v>McClane</v>
      </c>
      <c r="D185" s="1" t="str">
        <f ca="1">IFERROR(__xludf.DUMMYFUNCTION("""COMPUTED_VALUE"""),"KUHAC")</f>
        <v>KUHAC</v>
      </c>
      <c r="E185" s="4">
        <f ca="1">IFERROR(__xludf.DUMMYFUNCTION("""COMPUTED_VALUE"""),20.61)</f>
        <v>20.61</v>
      </c>
      <c r="F185" s="1"/>
    </row>
    <row r="186" spans="1:6" x14ac:dyDescent="0.2">
      <c r="A186" s="1">
        <f ca="1">IFERROR(__xludf.DUMMYFUNCTION("""COMPUTED_VALUE"""),3)</f>
        <v>3</v>
      </c>
      <c r="B186" s="1" t="str">
        <f ca="1">IFERROR(__xludf.DUMMYFUNCTION("""COMPUTED_VALUE"""),"Michael")</f>
        <v>Michael</v>
      </c>
      <c r="C186" s="1" t="str">
        <f ca="1">IFERROR(__xludf.DUMMYFUNCTION("""COMPUTED_VALUE"""),"Amadi")</f>
        <v>Amadi</v>
      </c>
      <c r="D186" s="1" t="str">
        <f ca="1">IFERROR(__xludf.DUMMYFUNCTION("""COMPUTED_VALUE"""),"Chesterfield")</f>
        <v>Chesterfield</v>
      </c>
      <c r="E186" s="4">
        <f ca="1">IFERROR(__xludf.DUMMYFUNCTION("""COMPUTED_VALUE"""),21.08)</f>
        <v>21.08</v>
      </c>
      <c r="F186" s="1"/>
    </row>
    <row r="187" spans="1:6" x14ac:dyDescent="0.2">
      <c r="A187" s="1">
        <f ca="1">IFERROR(__xludf.DUMMYFUNCTION("""COMPUTED_VALUE"""),402)</f>
        <v>402</v>
      </c>
      <c r="B187" s="1" t="str">
        <f ca="1">IFERROR(__xludf.DUMMYFUNCTION("""COMPUTED_VALUE"""),"Tre")</f>
        <v>Tre</v>
      </c>
      <c r="C187" s="1" t="str">
        <f ca="1">IFERROR(__xludf.DUMMYFUNCTION("""COMPUTED_VALUE"""),"Seamer")</f>
        <v>Seamer</v>
      </c>
      <c r="D187" s="1" t="str">
        <f ca="1">IFERROR(__xludf.DUMMYFUNCTION("""COMPUTED_VALUE"""),"Notts")</f>
        <v>Notts</v>
      </c>
      <c r="E187" s="4">
        <f ca="1">IFERROR(__xludf.DUMMYFUNCTION("""COMPUTED_VALUE"""),21.37)</f>
        <v>21.37</v>
      </c>
      <c r="F187" s="1"/>
    </row>
    <row r="188" spans="1:6" x14ac:dyDescent="0.2">
      <c r="A188" s="1">
        <f ca="1">IFERROR(__xludf.DUMMYFUNCTION("""COMPUTED_VALUE"""),302)</f>
        <v>302</v>
      </c>
      <c r="B188" s="1" t="str">
        <f ca="1">IFERROR(__xludf.DUMMYFUNCTION("""COMPUTED_VALUE"""),"Teige")</f>
        <v>Teige</v>
      </c>
      <c r="C188" s="1" t="str">
        <f ca="1">IFERROR(__xludf.DUMMYFUNCTION("""COMPUTED_VALUE"""),"Philipson")</f>
        <v>Philipson</v>
      </c>
      <c r="D188" s="1" t="str">
        <f ca="1">IFERROR(__xludf.DUMMYFUNCTION("""COMPUTED_VALUE"""),"LWAC")</f>
        <v>LWAC</v>
      </c>
      <c r="E188" s="4">
        <f ca="1">IFERROR(__xludf.DUMMYFUNCTION("""COMPUTED_VALUE"""),23.47)</f>
        <v>23.47</v>
      </c>
      <c r="F188" s="1"/>
    </row>
    <row r="189" spans="1:6" x14ac:dyDescent="0.2">
      <c r="A189" s="1">
        <f ca="1">IFERROR(__xludf.DUMMYFUNCTION("""COMPUTED_VALUE"""),502)</f>
        <v>502</v>
      </c>
      <c r="B189" s="1" t="str">
        <f ca="1">IFERROR(__xludf.DUMMYFUNCTION("""COMPUTED_VALUE"""),"Charlie")</f>
        <v>Charlie</v>
      </c>
      <c r="C189" s="1" t="str">
        <f ca="1">IFERROR(__xludf.DUMMYFUNCTION("""COMPUTED_VALUE"""),"Sinclair")</f>
        <v>Sinclair</v>
      </c>
      <c r="D189" s="1" t="str">
        <f ca="1">IFERROR(__xludf.DUMMYFUNCTION("""COMPUTED_VALUE"""),"Hallamshire")</f>
        <v>Hallamshire</v>
      </c>
      <c r="E189" s="4">
        <f ca="1">IFERROR(__xludf.DUMMYFUNCTION("""COMPUTED_VALUE"""),23.64)</f>
        <v>23.64</v>
      </c>
      <c r="F189" s="1"/>
    </row>
    <row r="190" spans="1:6" x14ac:dyDescent="0.2">
      <c r="A190" s="3" t="str">
        <f ca="1">IFERROR(__xludf.DUMMYFUNCTION("""COMPUTED_VALUE"""),"U12 Boys 150m  B Race")</f>
        <v>U12 Boys 150m  B Race</v>
      </c>
      <c r="B190" s="3"/>
      <c r="C190" s="3" t="str">
        <f ca="1">IFERROR(__xludf.DUMMYFUNCTION("""COMPUTED_VALUE"""),"Wind speed")</f>
        <v>Wind speed</v>
      </c>
      <c r="D190" s="3">
        <f ca="1">IFERROR(__xludf.DUMMYFUNCTION("""COMPUTED_VALUE"""),-2.1)</f>
        <v>-2.1</v>
      </c>
      <c r="E190" s="3"/>
      <c r="F190" s="1"/>
    </row>
    <row r="191" spans="1:6" x14ac:dyDescent="0.2">
      <c r="A191" s="1">
        <f ca="1">IFERROR(__xludf.DUMMYFUNCTION("""COMPUTED_VALUE"""),403)</f>
        <v>403</v>
      </c>
      <c r="B191" s="1" t="str">
        <f ca="1">IFERROR(__xludf.DUMMYFUNCTION("""COMPUTED_VALUE"""),"Dylan")</f>
        <v>Dylan</v>
      </c>
      <c r="C191" s="1" t="str">
        <f ca="1">IFERROR(__xludf.DUMMYFUNCTION("""COMPUTED_VALUE"""),"O'Brien")</f>
        <v>O'Brien</v>
      </c>
      <c r="D191" s="1" t="str">
        <f ca="1">IFERROR(__xludf.DUMMYFUNCTION("""COMPUTED_VALUE"""),"Newark")</f>
        <v>Newark</v>
      </c>
      <c r="E191" s="4">
        <f ca="1">IFERROR(__xludf.DUMMYFUNCTION("""COMPUTED_VALUE"""),21.82)</f>
        <v>21.82</v>
      </c>
      <c r="F191" s="1"/>
    </row>
    <row r="192" spans="1:6" x14ac:dyDescent="0.2">
      <c r="A192" s="1">
        <f ca="1">IFERROR(__xludf.DUMMYFUNCTION("""COMPUTED_VALUE"""),303)</f>
        <v>303</v>
      </c>
      <c r="B192" s="1" t="str">
        <f ca="1">IFERROR(__xludf.DUMMYFUNCTION("""COMPUTED_VALUE"""),"Abel")</f>
        <v>Abel</v>
      </c>
      <c r="C192" s="1" t="str">
        <f ca="1">IFERROR(__xludf.DUMMYFUNCTION("""COMPUTED_VALUE"""),"Acande")</f>
        <v>Acande</v>
      </c>
      <c r="D192" s="1" t="str">
        <f ca="1">IFERROR(__xludf.DUMMYFUNCTION("""COMPUTED_VALUE"""),"LWAC")</f>
        <v>LWAC</v>
      </c>
      <c r="E192" s="4">
        <f ca="1">IFERROR(__xludf.DUMMYFUNCTION("""COMPUTED_VALUE"""),22.23)</f>
        <v>22.23</v>
      </c>
      <c r="F192" s="1"/>
    </row>
    <row r="193" spans="1:6" x14ac:dyDescent="0.2">
      <c r="A193" s="1">
        <f ca="1">IFERROR(__xludf.DUMMYFUNCTION("""COMPUTED_VALUE"""),2)</f>
        <v>2</v>
      </c>
      <c r="B193" s="1" t="str">
        <f ca="1">IFERROR(__xludf.DUMMYFUNCTION("""COMPUTED_VALUE"""),"Joseph")</f>
        <v>Joseph</v>
      </c>
      <c r="C193" s="1" t="str">
        <f ca="1">IFERROR(__xludf.DUMMYFUNCTION("""COMPUTED_VALUE"""),"Brackenbury")</f>
        <v>Brackenbury</v>
      </c>
      <c r="D193" s="1" t="str">
        <f ca="1">IFERROR(__xludf.DUMMYFUNCTION("""COMPUTED_VALUE"""),"AVEAC")</f>
        <v>AVEAC</v>
      </c>
      <c r="E193" s="4">
        <f ca="1">IFERROR(__xludf.DUMMYFUNCTION("""COMPUTED_VALUE"""),22.68)</f>
        <v>22.68</v>
      </c>
      <c r="F193" s="1"/>
    </row>
    <row r="194" spans="1:6" x14ac:dyDescent="0.2">
      <c r="A194" s="1">
        <f ca="1">IFERROR(__xludf.DUMMYFUNCTION("""COMPUTED_VALUE"""),503)</f>
        <v>503</v>
      </c>
      <c r="B194" s="1" t="str">
        <f ca="1">IFERROR(__xludf.DUMMYFUNCTION("""COMPUTED_VALUE"""),"Rory")</f>
        <v>Rory</v>
      </c>
      <c r="C194" s="1" t="str">
        <f ca="1">IFERROR(__xludf.DUMMYFUNCTION("""COMPUTED_VALUE"""),"Mitchell")</f>
        <v>Mitchell</v>
      </c>
      <c r="D194" s="1" t="str">
        <f ca="1">IFERROR(__xludf.DUMMYFUNCTION("""COMPUTED_VALUE"""),"Hallamshire")</f>
        <v>Hallamshire</v>
      </c>
      <c r="E194" s="4">
        <f ca="1">IFERROR(__xludf.DUMMYFUNCTION("""COMPUTED_VALUE"""),23.71)</f>
        <v>23.71</v>
      </c>
      <c r="F194" s="1"/>
    </row>
    <row r="195" spans="1:6" x14ac:dyDescent="0.2">
      <c r="A195" s="1">
        <f ca="1">IFERROR(__xludf.DUMMYFUNCTION("""COMPUTED_VALUE"""),102)</f>
        <v>102</v>
      </c>
      <c r="B195" s="1" t="str">
        <f ca="1">IFERROR(__xludf.DUMMYFUNCTION("""COMPUTED_VALUE"""),"Harry")</f>
        <v>Harry</v>
      </c>
      <c r="C195" s="1" t="str">
        <f ca="1">IFERROR(__xludf.DUMMYFUNCTION("""COMPUTED_VALUE"""),"Durrant")</f>
        <v>Durrant</v>
      </c>
      <c r="D195" s="1" t="str">
        <f ca="1">IFERROR(__xludf.DUMMYFUNCTION("""COMPUTED_VALUE"""),"Grimsby")</f>
        <v>Grimsby</v>
      </c>
      <c r="E195" s="4">
        <f ca="1">IFERROR(__xludf.DUMMYFUNCTION("""COMPUTED_VALUE"""),24.05)</f>
        <v>24.05</v>
      </c>
      <c r="F195" s="1"/>
    </row>
    <row r="196" spans="1:6" x14ac:dyDescent="0.2">
      <c r="A196" s="3" t="str">
        <f ca="1">IFERROR(__xludf.DUMMYFUNCTION("""COMPUTED_VALUE"""),"U12 Girls 150m  A Race")</f>
        <v>U12 Girls 150m  A Race</v>
      </c>
      <c r="B196" s="3"/>
      <c r="C196" s="3" t="str">
        <f ca="1">IFERROR(__xludf.DUMMYFUNCTION("""COMPUTED_VALUE"""),"Wind speed")</f>
        <v>Wind speed</v>
      </c>
      <c r="D196" s="8">
        <f ca="1">IFERROR(__xludf.DUMMYFUNCTION("""COMPUTED_VALUE"""),-2)</f>
        <v>-2</v>
      </c>
      <c r="E196" s="3"/>
      <c r="F196" s="1"/>
    </row>
    <row r="197" spans="1:6" x14ac:dyDescent="0.2">
      <c r="A197" s="1">
        <f ca="1">IFERROR(__xludf.DUMMYFUNCTION("""COMPUTED_VALUE"""),27)</f>
        <v>27</v>
      </c>
      <c r="B197" s="1" t="str">
        <f ca="1">IFERROR(__xludf.DUMMYFUNCTION("""COMPUTED_VALUE"""),"Libby")</f>
        <v>Libby</v>
      </c>
      <c r="C197" s="1" t="str">
        <f ca="1">IFERROR(__xludf.DUMMYFUNCTION("""COMPUTED_VALUE"""),"Heaney")</f>
        <v>Heaney</v>
      </c>
      <c r="D197" s="1" t="str">
        <f ca="1">IFERROR(__xludf.DUMMYFUNCTION("""COMPUTED_VALUE"""),"Derby")</f>
        <v>Derby</v>
      </c>
      <c r="E197" s="4">
        <f ca="1">IFERROR(__xludf.DUMMYFUNCTION("""COMPUTED_VALUE"""),22.5)</f>
        <v>22.5</v>
      </c>
      <c r="F197" s="1"/>
    </row>
    <row r="198" spans="1:6" x14ac:dyDescent="0.2">
      <c r="A198" s="1">
        <f ca="1">IFERROR(__xludf.DUMMYFUNCTION("""COMPUTED_VALUE"""),433)</f>
        <v>433</v>
      </c>
      <c r="B198" s="1" t="str">
        <f ca="1">IFERROR(__xludf.DUMMYFUNCTION("""COMPUTED_VALUE"""),"Esme")</f>
        <v>Esme</v>
      </c>
      <c r="C198" s="1" t="str">
        <f ca="1">IFERROR(__xludf.DUMMYFUNCTION("""COMPUTED_VALUE"""),"Bacon")</f>
        <v>Bacon</v>
      </c>
      <c r="D198" s="1" t="str">
        <f ca="1">IFERROR(__xludf.DUMMYFUNCTION("""COMPUTED_VALUE"""),"Mansfield")</f>
        <v>Mansfield</v>
      </c>
      <c r="E198" s="4">
        <f ca="1">IFERROR(__xludf.DUMMYFUNCTION("""COMPUTED_VALUE"""),22.65)</f>
        <v>22.65</v>
      </c>
      <c r="F198" s="1"/>
    </row>
    <row r="199" spans="1:6" x14ac:dyDescent="0.2">
      <c r="A199" s="1">
        <f ca="1">IFERROR(__xludf.DUMMYFUNCTION("""COMPUTED_VALUE"""),327)</f>
        <v>327</v>
      </c>
      <c r="B199" s="1" t="str">
        <f ca="1">IFERROR(__xludf.DUMMYFUNCTION("""COMPUTED_VALUE"""),"Rose")</f>
        <v>Rose</v>
      </c>
      <c r="C199" s="1" t="str">
        <f ca="1">IFERROR(__xludf.DUMMYFUNCTION("""COMPUTED_VALUE"""),"Freeman")</f>
        <v>Freeman</v>
      </c>
      <c r="D199" s="1" t="str">
        <f ca="1">IFERROR(__xludf.DUMMYFUNCTION("""COMPUTED_VALUE"""),"LWAC")</f>
        <v>LWAC</v>
      </c>
      <c r="E199" s="4">
        <f ca="1">IFERROR(__xludf.DUMMYFUNCTION("""COMPUTED_VALUE"""),22.83)</f>
        <v>22.83</v>
      </c>
      <c r="F199" s="1"/>
    </row>
    <row r="200" spans="1:6" x14ac:dyDescent="0.2">
      <c r="A200" s="1">
        <f ca="1">IFERROR(__xludf.DUMMYFUNCTION("""COMPUTED_VALUE"""),528)</f>
        <v>528</v>
      </c>
      <c r="B200" s="1" t="str">
        <f ca="1">IFERROR(__xludf.DUMMYFUNCTION("""COMPUTED_VALUE"""),"Verity")</f>
        <v>Verity</v>
      </c>
      <c r="C200" s="1" t="str">
        <f ca="1">IFERROR(__xludf.DUMMYFUNCTION("""COMPUTED_VALUE"""),"Marshall")</f>
        <v>Marshall</v>
      </c>
      <c r="D200" s="1" t="str">
        <f ca="1">IFERROR(__xludf.DUMMYFUNCTION("""COMPUTED_VALUE"""),"Hallamshire")</f>
        <v>Hallamshire</v>
      </c>
      <c r="E200" s="4">
        <f ca="1">IFERROR(__xludf.DUMMYFUNCTION("""COMPUTED_VALUE"""),23.25)</f>
        <v>23.25</v>
      </c>
      <c r="F200" s="1"/>
    </row>
    <row r="201" spans="1:6" x14ac:dyDescent="0.2">
      <c r="A201" s="1">
        <f ca="1">IFERROR(__xludf.DUMMYFUNCTION("""COMPUTED_VALUE"""),134)</f>
        <v>134</v>
      </c>
      <c r="B201" s="1" t="str">
        <f ca="1">IFERROR(__xludf.DUMMYFUNCTION("""COMPUTED_VALUE"""),"Lily")</f>
        <v>Lily</v>
      </c>
      <c r="C201" s="1" t="str">
        <f ca="1">IFERROR(__xludf.DUMMYFUNCTION("""COMPUTED_VALUE"""),"Block")</f>
        <v>Block</v>
      </c>
      <c r="D201" s="1" t="str">
        <f ca="1">IFERROR(__xludf.DUMMYFUNCTION("""COMPUTED_VALUE"""),"KUHAC")</f>
        <v>KUHAC</v>
      </c>
      <c r="E201" s="4">
        <f ca="1">IFERROR(__xludf.DUMMYFUNCTION("""COMPUTED_VALUE"""),23.6)</f>
        <v>23.6</v>
      </c>
      <c r="F201" s="1"/>
    </row>
    <row r="202" spans="1:6" x14ac:dyDescent="0.2">
      <c r="A202" s="3" t="str">
        <f ca="1">IFERROR(__xludf.DUMMYFUNCTION("""COMPUTED_VALUE"""),"U12 Girls 150m  B Race")</f>
        <v>U12 Girls 150m  B Race</v>
      </c>
      <c r="B202" s="3"/>
      <c r="C202" s="3" t="str">
        <f ca="1">IFERROR(__xludf.DUMMYFUNCTION("""COMPUTED_VALUE"""),"Wind speed")</f>
        <v>Wind speed</v>
      </c>
      <c r="D202" s="3">
        <f ca="1">IFERROR(__xludf.DUMMYFUNCTION("""COMPUTED_VALUE"""),-2.2)</f>
        <v>-2.2000000000000002</v>
      </c>
      <c r="E202" s="3"/>
      <c r="F202" s="1"/>
    </row>
    <row r="203" spans="1:6" x14ac:dyDescent="0.2">
      <c r="A203" s="1">
        <f ca="1">IFERROR(__xludf.DUMMYFUNCTION("""COMPUTED_VALUE"""),432)</f>
        <v>432</v>
      </c>
      <c r="B203" s="1" t="str">
        <f ca="1">IFERROR(__xludf.DUMMYFUNCTION("""COMPUTED_VALUE"""),"Everly")</f>
        <v>Everly</v>
      </c>
      <c r="C203" s="1" t="str">
        <f ca="1">IFERROR(__xludf.DUMMYFUNCTION("""COMPUTED_VALUE"""),"Chijioke")</f>
        <v>Chijioke</v>
      </c>
      <c r="D203" s="1" t="str">
        <f ca="1">IFERROR(__xludf.DUMMYFUNCTION("""COMPUTED_VALUE"""),"Mansfield")</f>
        <v>Mansfield</v>
      </c>
      <c r="E203" s="4">
        <f ca="1">IFERROR(__xludf.DUMMYFUNCTION("""COMPUTED_VALUE"""),22.91)</f>
        <v>22.91</v>
      </c>
      <c r="F203" s="1"/>
    </row>
    <row r="204" spans="1:6" x14ac:dyDescent="0.2">
      <c r="A204" s="1">
        <f ca="1">IFERROR(__xludf.DUMMYFUNCTION("""COMPUTED_VALUE"""),529)</f>
        <v>529</v>
      </c>
      <c r="B204" s="1" t="str">
        <f ca="1">IFERROR(__xludf.DUMMYFUNCTION("""COMPUTED_VALUE"""),"Sophia")</f>
        <v>Sophia</v>
      </c>
      <c r="C204" s="1" t="str">
        <f ca="1">IFERROR(__xludf.DUMMYFUNCTION("""COMPUTED_VALUE"""),"Jones Wainwright")</f>
        <v>Jones Wainwright</v>
      </c>
      <c r="D204" s="1" t="str">
        <f ca="1">IFERROR(__xludf.DUMMYFUNCTION("""COMPUTED_VALUE"""),"Doncaster")</f>
        <v>Doncaster</v>
      </c>
      <c r="E204" s="4">
        <f ca="1">IFERROR(__xludf.DUMMYFUNCTION("""COMPUTED_VALUE"""),23.12)</f>
        <v>23.12</v>
      </c>
      <c r="F204" s="1"/>
    </row>
    <row r="205" spans="1:6" x14ac:dyDescent="0.2">
      <c r="A205" s="1">
        <f ca="1">IFERROR(__xludf.DUMMYFUNCTION("""COMPUTED_VALUE"""),135)</f>
        <v>135</v>
      </c>
      <c r="B205" s="1" t="str">
        <f ca="1">IFERROR(__xludf.DUMMYFUNCTION("""COMPUTED_VALUE"""),"Megan")</f>
        <v>Megan</v>
      </c>
      <c r="C205" s="1" t="str">
        <f ca="1">IFERROR(__xludf.DUMMYFUNCTION("""COMPUTED_VALUE"""),"Herron")</f>
        <v>Herron</v>
      </c>
      <c r="D205" s="1" t="str">
        <f ca="1">IFERROR(__xludf.DUMMYFUNCTION("""COMPUTED_VALUE"""),"Scunthorpe")</f>
        <v>Scunthorpe</v>
      </c>
      <c r="E205" s="4">
        <f ca="1">IFERROR(__xludf.DUMMYFUNCTION("""COMPUTED_VALUE"""),24.09)</f>
        <v>24.09</v>
      </c>
      <c r="F205" s="1"/>
    </row>
    <row r="206" spans="1:6" x14ac:dyDescent="0.2">
      <c r="A206" s="1">
        <f ca="1">IFERROR(__xludf.DUMMYFUNCTION("""COMPUTED_VALUE"""),29)</f>
        <v>29</v>
      </c>
      <c r="B206" s="1" t="str">
        <f ca="1">IFERROR(__xludf.DUMMYFUNCTION("""COMPUTED_VALUE"""),"Evelyn")</f>
        <v>Evelyn</v>
      </c>
      <c r="C206" s="1" t="str">
        <f ca="1">IFERROR(__xludf.DUMMYFUNCTION("""COMPUTED_VALUE"""),"Perryman")</f>
        <v>Perryman</v>
      </c>
      <c r="D206" s="1" t="str">
        <f ca="1">IFERROR(__xludf.DUMMYFUNCTION("""COMPUTED_VALUE"""),"Chesterfield")</f>
        <v>Chesterfield</v>
      </c>
      <c r="E206" s="4">
        <f ca="1">IFERROR(__xludf.DUMMYFUNCTION("""COMPUTED_VALUE"""),24.36)</f>
        <v>24.36</v>
      </c>
      <c r="F206" s="1"/>
    </row>
    <row r="207" spans="1:6" x14ac:dyDescent="0.2">
      <c r="A207" s="1">
        <f ca="1">IFERROR(__xludf.DUMMYFUNCTION("""COMPUTED_VALUE"""),329)</f>
        <v>329</v>
      </c>
      <c r="B207" s="1" t="str">
        <f ca="1">IFERROR(__xludf.DUMMYFUNCTION("""COMPUTED_VALUE"""),"Erica")</f>
        <v>Erica</v>
      </c>
      <c r="C207" s="1" t="str">
        <f ca="1">IFERROR(__xludf.DUMMYFUNCTION("""COMPUTED_VALUE"""),"Wollgar")</f>
        <v>Wollgar</v>
      </c>
      <c r="D207" s="1" t="str">
        <f ca="1">IFERROR(__xludf.DUMMYFUNCTION("""COMPUTED_VALUE"""),"LWAC")</f>
        <v>LWAC</v>
      </c>
      <c r="E207" s="4">
        <f ca="1">IFERROR(__xludf.DUMMYFUNCTION("""COMPUTED_VALUE"""),25.29)</f>
        <v>25.29</v>
      </c>
      <c r="F207" s="1"/>
    </row>
    <row r="208" spans="1:6" x14ac:dyDescent="0.2">
      <c r="A208" s="3" t="str">
        <f ca="1">IFERROR(__xludf.DUMMYFUNCTION("""COMPUTED_VALUE"""),"U14 Boys 200m A Race")</f>
        <v>U14 Boys 200m A Race</v>
      </c>
      <c r="B208" s="3"/>
      <c r="C208" s="3" t="str">
        <f ca="1">IFERROR(__xludf.DUMMYFUNCTION("""COMPUTED_VALUE"""),"Wind speed")</f>
        <v>Wind speed</v>
      </c>
      <c r="D208" s="3">
        <f ca="1">IFERROR(__xludf.DUMMYFUNCTION("""COMPUTED_VALUE"""),-3.4)</f>
        <v>-3.4</v>
      </c>
      <c r="E208" s="3"/>
      <c r="F208" s="1"/>
    </row>
    <row r="209" spans="1:6" x14ac:dyDescent="0.2">
      <c r="A209" s="1">
        <f ca="1">IFERROR(__xludf.DUMMYFUNCTION("""COMPUTED_VALUE"""),110)</f>
        <v>110</v>
      </c>
      <c r="B209" s="1" t="str">
        <f ca="1">IFERROR(__xludf.DUMMYFUNCTION("""COMPUTED_VALUE"""),"Emmanuel")</f>
        <v>Emmanuel</v>
      </c>
      <c r="C209" s="1" t="str">
        <f ca="1">IFERROR(__xludf.DUMMYFUNCTION("""COMPUTED_VALUE"""),"Mendez")</f>
        <v>Mendez</v>
      </c>
      <c r="D209" s="1" t="str">
        <f ca="1">IFERROR(__xludf.DUMMYFUNCTION("""COMPUTED_VALUE"""),"KUHAC")</f>
        <v>KUHAC</v>
      </c>
      <c r="E209" s="4">
        <f ca="1">IFERROR(__xludf.DUMMYFUNCTION("""COMPUTED_VALUE"""),24.97)</f>
        <v>24.97</v>
      </c>
      <c r="F209" s="1"/>
    </row>
    <row r="210" spans="1:6" x14ac:dyDescent="0.2">
      <c r="A210" s="1">
        <f ca="1">IFERROR(__xludf.DUMMYFUNCTION("""COMPUTED_VALUE"""),508)</f>
        <v>508</v>
      </c>
      <c r="B210" s="1" t="str">
        <f ca="1">IFERROR(__xludf.DUMMYFUNCTION("""COMPUTED_VALUE"""),"Aron")</f>
        <v>Aron</v>
      </c>
      <c r="C210" s="1" t="str">
        <f ca="1">IFERROR(__xludf.DUMMYFUNCTION("""COMPUTED_VALUE"""),"Hattersley")</f>
        <v>Hattersley</v>
      </c>
      <c r="D210" s="1" t="str">
        <f ca="1">IFERROR(__xludf.DUMMYFUNCTION("""COMPUTED_VALUE"""),"City of Sheffield")</f>
        <v>City of Sheffield</v>
      </c>
      <c r="E210" s="4">
        <f ca="1">IFERROR(__xludf.DUMMYFUNCTION("""COMPUTED_VALUE"""),25.3)</f>
        <v>25.3</v>
      </c>
      <c r="F210" s="1"/>
    </row>
    <row r="211" spans="1:6" x14ac:dyDescent="0.2">
      <c r="A211" s="1">
        <f ca="1">IFERROR(__xludf.DUMMYFUNCTION("""COMPUTED_VALUE"""),407)</f>
        <v>407</v>
      </c>
      <c r="B211" s="1" t="str">
        <f ca="1">IFERROR(__xludf.DUMMYFUNCTION("""COMPUTED_VALUE"""),"Elliot")</f>
        <v>Elliot</v>
      </c>
      <c r="C211" s="1" t="str">
        <f ca="1">IFERROR(__xludf.DUMMYFUNCTION("""COMPUTED_VALUE"""),"Junor")</f>
        <v>Junor</v>
      </c>
      <c r="D211" s="1" t="str">
        <f ca="1">IFERROR(__xludf.DUMMYFUNCTION("""COMPUTED_VALUE"""),"Notts")</f>
        <v>Notts</v>
      </c>
      <c r="E211" s="4">
        <f ca="1">IFERROR(__xludf.DUMMYFUNCTION("""COMPUTED_VALUE"""),26.08)</f>
        <v>26.08</v>
      </c>
      <c r="F211" s="1"/>
    </row>
    <row r="212" spans="1:6" x14ac:dyDescent="0.2">
      <c r="A212" s="1">
        <f ca="1">IFERROR(__xludf.DUMMYFUNCTION("""COMPUTED_VALUE"""),7)</f>
        <v>7</v>
      </c>
      <c r="B212" s="1" t="str">
        <f ca="1">IFERROR(__xludf.DUMMYFUNCTION("""COMPUTED_VALUE"""),"Benjamin")</f>
        <v>Benjamin</v>
      </c>
      <c r="C212" s="1" t="str">
        <f ca="1">IFERROR(__xludf.DUMMYFUNCTION("""COMPUTED_VALUE"""),"Barfoot")</f>
        <v>Barfoot</v>
      </c>
      <c r="D212" s="1" t="str">
        <f ca="1">IFERROR(__xludf.DUMMYFUNCTION("""COMPUTED_VALUE"""),"Chesterfield")</f>
        <v>Chesterfield</v>
      </c>
      <c r="E212" s="4">
        <f ca="1">IFERROR(__xludf.DUMMYFUNCTION("""COMPUTED_VALUE"""),26.13)</f>
        <v>26.13</v>
      </c>
      <c r="F212" s="1"/>
    </row>
    <row r="213" spans="1:6" x14ac:dyDescent="0.2">
      <c r="A213" s="1">
        <f ca="1">IFERROR(__xludf.DUMMYFUNCTION("""COMPUTED_VALUE"""),309)</f>
        <v>309</v>
      </c>
      <c r="B213" s="1" t="str">
        <f ca="1">IFERROR(__xludf.DUMMYFUNCTION("""COMPUTED_VALUE"""),"Max")</f>
        <v>Max</v>
      </c>
      <c r="C213" s="1" t="str">
        <f ca="1">IFERROR(__xludf.DUMMYFUNCTION("""COMPUTED_VALUE"""),"Hoyles")</f>
        <v>Hoyles</v>
      </c>
      <c r="D213" s="1" t="str">
        <f ca="1">IFERROR(__xludf.DUMMYFUNCTION("""COMPUTED_VALUE"""),"Grantham AC")</f>
        <v>Grantham AC</v>
      </c>
      <c r="E213" s="4">
        <f ca="1">IFERROR(__xludf.DUMMYFUNCTION("""COMPUTED_VALUE"""),26.66)</f>
        <v>26.66</v>
      </c>
      <c r="F213" s="1"/>
    </row>
    <row r="214" spans="1:6" x14ac:dyDescent="0.2">
      <c r="A214" s="3" t="str">
        <f ca="1">IFERROR(__xludf.DUMMYFUNCTION("""COMPUTED_VALUE"""),"U14 Boys 200m B Race")</f>
        <v>U14 Boys 200m B Race</v>
      </c>
      <c r="B214" s="3"/>
      <c r="C214" s="3" t="str">
        <f ca="1">IFERROR(__xludf.DUMMYFUNCTION("""COMPUTED_VALUE"""),"Wind speed")</f>
        <v>Wind speed</v>
      </c>
      <c r="D214" s="3">
        <f ca="1">IFERROR(__xludf.DUMMYFUNCTION("""COMPUTED_VALUE"""),-2.7)</f>
        <v>-2.7</v>
      </c>
      <c r="E214" s="3"/>
      <c r="F214" s="1"/>
    </row>
    <row r="215" spans="1:6" x14ac:dyDescent="0.2">
      <c r="A215" s="1">
        <f ca="1">IFERROR(__xludf.DUMMYFUNCTION("""COMPUTED_VALUE"""),510)</f>
        <v>510</v>
      </c>
      <c r="B215" s="1" t="str">
        <f ca="1">IFERROR(__xludf.DUMMYFUNCTION("""COMPUTED_VALUE"""),"Max")</f>
        <v>Max</v>
      </c>
      <c r="C215" s="1" t="str">
        <f ca="1">IFERROR(__xludf.DUMMYFUNCTION("""COMPUTED_VALUE"""),"Cook")</f>
        <v>Cook</v>
      </c>
      <c r="D215" s="1" t="str">
        <f ca="1">IFERROR(__xludf.DUMMYFUNCTION("""COMPUTED_VALUE"""),"Doncaster")</f>
        <v>Doncaster</v>
      </c>
      <c r="E215" s="4">
        <f ca="1">IFERROR(__xludf.DUMMYFUNCTION("""COMPUTED_VALUE"""),26.97)</f>
        <v>26.97</v>
      </c>
      <c r="F215" s="1"/>
    </row>
    <row r="216" spans="1:6" x14ac:dyDescent="0.2">
      <c r="A216" s="1">
        <f ca="1">IFERROR(__xludf.DUMMYFUNCTION("""COMPUTED_VALUE"""),112)</f>
        <v>112</v>
      </c>
      <c r="B216" s="1" t="str">
        <f ca="1">IFERROR(__xludf.DUMMYFUNCTION("""COMPUTED_VALUE"""),"William")</f>
        <v>William</v>
      </c>
      <c r="C216" s="1" t="str">
        <f ca="1">IFERROR(__xludf.DUMMYFUNCTION("""COMPUTED_VALUE"""),"Pearson")</f>
        <v>Pearson</v>
      </c>
      <c r="D216" s="1" t="str">
        <f ca="1">IFERROR(__xludf.DUMMYFUNCTION("""COMPUTED_VALUE"""),"Scunthorpe")</f>
        <v>Scunthorpe</v>
      </c>
      <c r="E216" s="4">
        <f ca="1">IFERROR(__xludf.DUMMYFUNCTION("""COMPUTED_VALUE"""),27)</f>
        <v>27</v>
      </c>
      <c r="F216" s="1"/>
    </row>
    <row r="217" spans="1:6" x14ac:dyDescent="0.2">
      <c r="A217" s="1">
        <f ca="1">IFERROR(__xludf.DUMMYFUNCTION("""COMPUTED_VALUE"""),311)</f>
        <v>311</v>
      </c>
      <c r="B217" s="1" t="str">
        <f ca="1">IFERROR(__xludf.DUMMYFUNCTION("""COMPUTED_VALUE"""),"Ryan")</f>
        <v>Ryan</v>
      </c>
      <c r="C217" s="1" t="str">
        <f ca="1">IFERROR(__xludf.DUMMYFUNCTION("""COMPUTED_VALUE"""),"Young")</f>
        <v>Young</v>
      </c>
      <c r="D217" s="1" t="str">
        <f ca="1">IFERROR(__xludf.DUMMYFUNCTION("""COMPUTED_VALUE"""),"Grantham AC")</f>
        <v>Grantham AC</v>
      </c>
      <c r="E217" s="4">
        <f ca="1">IFERROR(__xludf.DUMMYFUNCTION("""COMPUTED_VALUE"""),27.32)</f>
        <v>27.32</v>
      </c>
      <c r="F217" s="1"/>
    </row>
    <row r="218" spans="1:6" x14ac:dyDescent="0.2">
      <c r="A218" s="1">
        <f ca="1">IFERROR(__xludf.DUMMYFUNCTION("""COMPUTED_VALUE"""),408)</f>
        <v>408</v>
      </c>
      <c r="B218" s="1" t="str">
        <f ca="1">IFERROR(__xludf.DUMMYFUNCTION("""COMPUTED_VALUE"""),"Stephen")</f>
        <v>Stephen</v>
      </c>
      <c r="C218" s="1" t="str">
        <f ca="1">IFERROR(__xludf.DUMMYFUNCTION("""COMPUTED_VALUE"""),"Amaechi")</f>
        <v>Amaechi</v>
      </c>
      <c r="D218" s="1" t="str">
        <f ca="1">IFERROR(__xludf.DUMMYFUNCTION("""COMPUTED_VALUE"""),"Notts")</f>
        <v>Notts</v>
      </c>
      <c r="E218" s="4">
        <f ca="1">IFERROR(__xludf.DUMMYFUNCTION("""COMPUTED_VALUE"""),28.38)</f>
        <v>28.38</v>
      </c>
      <c r="F218" s="1"/>
    </row>
    <row r="219" spans="1:6" x14ac:dyDescent="0.2">
      <c r="A219" s="1">
        <f ca="1">IFERROR(__xludf.DUMMYFUNCTION("""COMPUTED_VALUE"""),9)</f>
        <v>9</v>
      </c>
      <c r="B219" s="1" t="str">
        <f ca="1">IFERROR(__xludf.DUMMYFUNCTION("""COMPUTED_VALUE"""),"Owen")</f>
        <v>Owen</v>
      </c>
      <c r="C219" s="1" t="str">
        <f ca="1">IFERROR(__xludf.DUMMYFUNCTION("""COMPUTED_VALUE"""),"Watson")</f>
        <v>Watson</v>
      </c>
      <c r="D219" s="1" t="str">
        <f ca="1">IFERROR(__xludf.DUMMYFUNCTION("""COMPUTED_VALUE"""),"AVEAC")</f>
        <v>AVEAC</v>
      </c>
      <c r="E219" s="4">
        <f ca="1">IFERROR(__xludf.DUMMYFUNCTION("""COMPUTED_VALUE"""),28.79)</f>
        <v>28.79</v>
      </c>
      <c r="F219" s="1"/>
    </row>
    <row r="220" spans="1:6" x14ac:dyDescent="0.2">
      <c r="A220" s="3" t="str">
        <f ca="1">IFERROR(__xludf.DUMMYFUNCTION("""COMPUTED_VALUE"""),"U14 Girls 200m A Race")</f>
        <v>U14 Girls 200m A Race</v>
      </c>
      <c r="B220" s="3"/>
      <c r="C220" s="3" t="str">
        <f ca="1">IFERROR(__xludf.DUMMYFUNCTION("""COMPUTED_VALUE"""),"Wind speed")</f>
        <v>Wind speed</v>
      </c>
      <c r="D220" s="3">
        <v>-1.9</v>
      </c>
      <c r="E220" s="3"/>
      <c r="F220" s="1"/>
    </row>
    <row r="221" spans="1:6" x14ac:dyDescent="0.2">
      <c r="A221" s="1">
        <f ca="1">IFERROR(__xludf.DUMMYFUNCTION("""COMPUTED_VALUE"""),534)</f>
        <v>534</v>
      </c>
      <c r="B221" s="1" t="str">
        <f ca="1">IFERROR(__xludf.DUMMYFUNCTION("""COMPUTED_VALUE"""),"Neriah")</f>
        <v>Neriah</v>
      </c>
      <c r="C221" s="1" t="str">
        <f ca="1">IFERROR(__xludf.DUMMYFUNCTION("""COMPUTED_VALUE"""),"Beckford")</f>
        <v>Beckford</v>
      </c>
      <c r="D221" s="1" t="str">
        <f ca="1">IFERROR(__xludf.DUMMYFUNCTION("""COMPUTED_VALUE"""),"City of Sheffield")</f>
        <v>City of Sheffield</v>
      </c>
      <c r="E221" s="4">
        <f ca="1">IFERROR(__xludf.DUMMYFUNCTION("""COMPUTED_VALUE"""),27.64)</f>
        <v>27.64</v>
      </c>
      <c r="F221" s="1"/>
    </row>
    <row r="222" spans="1:6" x14ac:dyDescent="0.2">
      <c r="A222" s="1">
        <f ca="1">IFERROR(__xludf.DUMMYFUNCTION("""COMPUTED_VALUE"""),439)</f>
        <v>439</v>
      </c>
      <c r="B222" s="1" t="str">
        <f ca="1">IFERROR(__xludf.DUMMYFUNCTION("""COMPUTED_VALUE"""),"Natasha")</f>
        <v>Natasha</v>
      </c>
      <c r="C222" s="1" t="str">
        <f ca="1">IFERROR(__xludf.DUMMYFUNCTION("""COMPUTED_VALUE"""),"Milburn")</f>
        <v>Milburn</v>
      </c>
      <c r="D222" s="1" t="str">
        <f ca="1">IFERROR(__xludf.DUMMYFUNCTION("""COMPUTED_VALUE"""),"Rushcliffe")</f>
        <v>Rushcliffe</v>
      </c>
      <c r="E222" s="4">
        <f ca="1">IFERROR(__xludf.DUMMYFUNCTION("""COMPUTED_VALUE"""),27.98)</f>
        <v>27.98</v>
      </c>
      <c r="F222" s="1"/>
    </row>
    <row r="223" spans="1:6" x14ac:dyDescent="0.2">
      <c r="A223" s="1">
        <f ca="1">IFERROR(__xludf.DUMMYFUNCTION("""COMPUTED_VALUE"""),333)</f>
        <v>333</v>
      </c>
      <c r="B223" s="1" t="str">
        <f ca="1">IFERROR(__xludf.DUMMYFUNCTION("""COMPUTED_VALUE"""),"Georgia")</f>
        <v>Georgia</v>
      </c>
      <c r="C223" s="1" t="str">
        <f ca="1">IFERROR(__xludf.DUMMYFUNCTION("""COMPUTED_VALUE"""),"Marriott")</f>
        <v>Marriott</v>
      </c>
      <c r="D223" s="1" t="str">
        <f ca="1">IFERROR(__xludf.DUMMYFUNCTION("""COMPUTED_VALUE"""),"LWAC")</f>
        <v>LWAC</v>
      </c>
      <c r="E223" s="4">
        <f ca="1">IFERROR(__xludf.DUMMYFUNCTION("""COMPUTED_VALUE"""),28.41)</f>
        <v>28.41</v>
      </c>
      <c r="F223" s="1"/>
    </row>
    <row r="224" spans="1:6" x14ac:dyDescent="0.2">
      <c r="A224" s="1">
        <f ca="1">IFERROR(__xludf.DUMMYFUNCTION("""COMPUTED_VALUE"""),141)</f>
        <v>141</v>
      </c>
      <c r="B224" s="1" t="str">
        <f ca="1">IFERROR(__xludf.DUMMYFUNCTION("""COMPUTED_VALUE"""),"Mila")</f>
        <v>Mila</v>
      </c>
      <c r="C224" s="1" t="str">
        <f ca="1">IFERROR(__xludf.DUMMYFUNCTION("""COMPUTED_VALUE"""),"Telford")</f>
        <v>Telford</v>
      </c>
      <c r="D224" s="1" t="str">
        <f ca="1">IFERROR(__xludf.DUMMYFUNCTION("""COMPUTED_VALUE"""),"KUHAC")</f>
        <v>KUHAC</v>
      </c>
      <c r="E224" s="4">
        <f ca="1">IFERROR(__xludf.DUMMYFUNCTION("""COMPUTED_VALUE"""),29.49)</f>
        <v>29.49</v>
      </c>
      <c r="F224" s="1"/>
    </row>
    <row r="225" spans="1:6" x14ac:dyDescent="0.2">
      <c r="A225" s="1">
        <f ca="1">IFERROR(__xludf.DUMMYFUNCTION("""COMPUTED_VALUE"""),36)</f>
        <v>36</v>
      </c>
      <c r="B225" s="1" t="str">
        <f ca="1">IFERROR(__xludf.DUMMYFUNCTION("""COMPUTED_VALUE"""),"Eliza")</f>
        <v>Eliza</v>
      </c>
      <c r="C225" s="1" t="str">
        <f ca="1">IFERROR(__xludf.DUMMYFUNCTION("""COMPUTED_VALUE"""),"Swift")</f>
        <v>Swift</v>
      </c>
      <c r="D225" s="1" t="str">
        <f ca="1">IFERROR(__xludf.DUMMYFUNCTION("""COMPUTED_VALUE"""),"Derby")</f>
        <v>Derby</v>
      </c>
      <c r="E225" s="4">
        <f ca="1">IFERROR(__xludf.DUMMYFUNCTION("""COMPUTED_VALUE"""),30.87)</f>
        <v>30.87</v>
      </c>
      <c r="F225" s="1"/>
    </row>
    <row r="226" spans="1:6" x14ac:dyDescent="0.2">
      <c r="A226" s="3" t="str">
        <f ca="1">IFERROR(__xludf.DUMMYFUNCTION("""COMPUTED_VALUE"""),"U14 Girls 200m B Race")</f>
        <v>U14 Girls 200m B Race</v>
      </c>
      <c r="B226" s="3"/>
      <c r="C226" s="3" t="str">
        <f ca="1">IFERROR(__xludf.DUMMYFUNCTION("""COMPUTED_VALUE"""),"Wind speed")</f>
        <v>Wind speed</v>
      </c>
      <c r="D226" s="3">
        <v>-2.2000000000000002</v>
      </c>
      <c r="E226" s="3"/>
      <c r="F226" s="1"/>
    </row>
    <row r="227" spans="1:6" x14ac:dyDescent="0.2">
      <c r="A227" s="1">
        <f ca="1">IFERROR(__xludf.DUMMYFUNCTION("""COMPUTED_VALUE"""),440)</f>
        <v>440</v>
      </c>
      <c r="B227" s="1" t="str">
        <f ca="1">IFERROR(__xludf.DUMMYFUNCTION("""COMPUTED_VALUE"""),"Amiyah")</f>
        <v>Amiyah</v>
      </c>
      <c r="C227" s="1" t="str">
        <f ca="1">IFERROR(__xludf.DUMMYFUNCTION("""COMPUTED_VALUE"""),"Cooper")</f>
        <v>Cooper</v>
      </c>
      <c r="D227" s="1" t="str">
        <f ca="1">IFERROR(__xludf.DUMMYFUNCTION("""COMPUTED_VALUE"""),"Notts")</f>
        <v>Notts</v>
      </c>
      <c r="E227" s="4">
        <f ca="1">IFERROR(__xludf.DUMMYFUNCTION("""COMPUTED_VALUE"""),27.23)</f>
        <v>27.23</v>
      </c>
      <c r="F227" s="1"/>
    </row>
    <row r="228" spans="1:6" x14ac:dyDescent="0.2">
      <c r="A228" s="1">
        <f ca="1">IFERROR(__xludf.DUMMYFUNCTION("""COMPUTED_VALUE"""),334)</f>
        <v>334</v>
      </c>
      <c r="B228" s="1" t="str">
        <f ca="1">IFERROR(__xludf.DUMMYFUNCTION("""COMPUTED_VALUE"""),"Isabel")</f>
        <v>Isabel</v>
      </c>
      <c r="C228" s="1" t="str">
        <f ca="1">IFERROR(__xludf.DUMMYFUNCTION("""COMPUTED_VALUE"""),"Akande")</f>
        <v>Akande</v>
      </c>
      <c r="D228" s="1" t="str">
        <f ca="1">IFERROR(__xludf.DUMMYFUNCTION("""COMPUTED_VALUE"""),"LWAC")</f>
        <v>LWAC</v>
      </c>
      <c r="E228" s="4">
        <f ca="1">IFERROR(__xludf.DUMMYFUNCTION("""COMPUTED_VALUE"""),27.24)</f>
        <v>27.24</v>
      </c>
      <c r="F228" s="1"/>
    </row>
    <row r="229" spans="1:6" x14ac:dyDescent="0.2">
      <c r="A229" s="1">
        <f ca="1">IFERROR(__xludf.DUMMYFUNCTION("""COMPUTED_VALUE"""),535)</f>
        <v>535</v>
      </c>
      <c r="B229" s="1" t="str">
        <f ca="1">IFERROR(__xludf.DUMMYFUNCTION("""COMPUTED_VALUE"""),"Mia")</f>
        <v>Mia</v>
      </c>
      <c r="C229" s="1" t="str">
        <f ca="1">IFERROR(__xludf.DUMMYFUNCTION("""COMPUTED_VALUE"""),"Pettican")</f>
        <v>Pettican</v>
      </c>
      <c r="D229" s="1" t="str">
        <f ca="1">IFERROR(__xludf.DUMMYFUNCTION("""COMPUTED_VALUE"""),"Rotherham")</f>
        <v>Rotherham</v>
      </c>
      <c r="E229" s="4">
        <f ca="1">IFERROR(__xludf.DUMMYFUNCTION("""COMPUTED_VALUE"""),28.35)</f>
        <v>28.35</v>
      </c>
      <c r="F229" s="1"/>
    </row>
    <row r="230" spans="1:6" x14ac:dyDescent="0.2">
      <c r="A230" s="1">
        <f ca="1">IFERROR(__xludf.DUMMYFUNCTION("""COMPUTED_VALUE"""),143)</f>
        <v>143</v>
      </c>
      <c r="B230" s="1" t="str">
        <f ca="1">IFERROR(__xludf.DUMMYFUNCTION("""COMPUTED_VALUE"""),"Annabelle")</f>
        <v>Annabelle</v>
      </c>
      <c r="C230" s="1" t="str">
        <f ca="1">IFERROR(__xludf.DUMMYFUNCTION("""COMPUTED_VALUE"""),"Thompson")</f>
        <v>Thompson</v>
      </c>
      <c r="D230" s="1" t="str">
        <f ca="1">IFERROR(__xludf.DUMMYFUNCTION("""COMPUTED_VALUE"""),"KUHAC")</f>
        <v>KUHAC</v>
      </c>
      <c r="E230" s="4">
        <f ca="1">IFERROR(__xludf.DUMMYFUNCTION("""COMPUTED_VALUE"""),29.02)</f>
        <v>29.02</v>
      </c>
      <c r="F230" s="1"/>
    </row>
    <row r="231" spans="1:6" x14ac:dyDescent="0.2">
      <c r="A231" s="1">
        <f ca="1">IFERROR(__xludf.DUMMYFUNCTION("""COMPUTED_VALUE"""),37)</f>
        <v>37</v>
      </c>
      <c r="B231" s="1" t="str">
        <f ca="1">IFERROR(__xludf.DUMMYFUNCTION("""COMPUTED_VALUE"""),"Martha")</f>
        <v>Martha</v>
      </c>
      <c r="C231" s="1" t="str">
        <f ca="1">IFERROR(__xludf.DUMMYFUNCTION("""COMPUTED_VALUE"""),"Smith")</f>
        <v>Smith</v>
      </c>
      <c r="D231" s="1" t="str">
        <f ca="1">IFERROR(__xludf.DUMMYFUNCTION("""COMPUTED_VALUE"""),"Chesterfield")</f>
        <v>Chesterfield</v>
      </c>
      <c r="E231" s="4">
        <f ca="1">IFERROR(__xludf.DUMMYFUNCTION("""COMPUTED_VALUE"""),30.6)</f>
        <v>30.6</v>
      </c>
      <c r="F231" s="1"/>
    </row>
    <row r="232" spans="1:6" x14ac:dyDescent="0.2">
      <c r="A232" s="3" t="str">
        <f ca="1">IFERROR(__xludf.DUMMYFUNCTION("""COMPUTED_VALUE"""),"U16 Boys 200m A Race")</f>
        <v>U16 Boys 200m A Race</v>
      </c>
      <c r="B232" s="3"/>
      <c r="C232" s="3" t="str">
        <f ca="1">IFERROR(__xludf.DUMMYFUNCTION("""COMPUTED_VALUE"""),"Wind speed")</f>
        <v>Wind speed</v>
      </c>
      <c r="D232" s="3">
        <v>-2.1</v>
      </c>
      <c r="E232" s="3"/>
      <c r="F232" s="1"/>
    </row>
    <row r="233" spans="1:6" x14ac:dyDescent="0.2">
      <c r="A233" s="1">
        <f ca="1">IFERROR(__xludf.DUMMYFUNCTION("""COMPUTED_VALUE"""),517)</f>
        <v>517</v>
      </c>
      <c r="B233" s="1" t="str">
        <f ca="1">IFERROR(__xludf.DUMMYFUNCTION("""COMPUTED_VALUE"""),"Ryan")</f>
        <v>Ryan</v>
      </c>
      <c r="C233" s="1" t="str">
        <f ca="1">IFERROR(__xludf.DUMMYFUNCTION("""COMPUTED_VALUE"""),"Hatcher")</f>
        <v>Hatcher</v>
      </c>
      <c r="D233" s="1" t="str">
        <f ca="1">IFERROR(__xludf.DUMMYFUNCTION("""COMPUTED_VALUE"""),"Hallamshire")</f>
        <v>Hallamshire</v>
      </c>
      <c r="E233" s="4">
        <f ca="1">IFERROR(__xludf.DUMMYFUNCTION("""COMPUTED_VALUE"""),23.75)</f>
        <v>23.75</v>
      </c>
      <c r="F233" s="1"/>
    </row>
    <row r="234" spans="1:6" x14ac:dyDescent="0.2">
      <c r="A234" s="1">
        <f ca="1">IFERROR(__xludf.DUMMYFUNCTION("""COMPUTED_VALUE"""),420)</f>
        <v>420</v>
      </c>
      <c r="B234" s="1" t="str">
        <f ca="1">IFERROR(__xludf.DUMMYFUNCTION("""COMPUTED_VALUE"""),"Leo")</f>
        <v>Leo</v>
      </c>
      <c r="C234" s="1" t="str">
        <f ca="1">IFERROR(__xludf.DUMMYFUNCTION("""COMPUTED_VALUE"""),"Shaw")</f>
        <v>Shaw</v>
      </c>
      <c r="D234" s="1" t="str">
        <f ca="1">IFERROR(__xludf.DUMMYFUNCTION("""COMPUTED_VALUE"""),"Notts")</f>
        <v>Notts</v>
      </c>
      <c r="E234" s="4">
        <f ca="1">IFERROR(__xludf.DUMMYFUNCTION("""COMPUTED_VALUE"""),24.55)</f>
        <v>24.55</v>
      </c>
      <c r="F234" s="1"/>
    </row>
    <row r="235" spans="1:6" x14ac:dyDescent="0.2">
      <c r="A235" s="1">
        <f ca="1">IFERROR(__xludf.DUMMYFUNCTION("""COMPUTED_VALUE"""),17)</f>
        <v>17</v>
      </c>
      <c r="B235" s="1" t="str">
        <f ca="1">IFERROR(__xludf.DUMMYFUNCTION("""COMPUTED_VALUE"""),"Callum")</f>
        <v>Callum</v>
      </c>
      <c r="C235" s="1" t="str">
        <f ca="1">IFERROR(__xludf.DUMMYFUNCTION("""COMPUTED_VALUE"""),"McFadyean")</f>
        <v>McFadyean</v>
      </c>
      <c r="D235" s="1" t="str">
        <f ca="1">IFERROR(__xludf.DUMMYFUNCTION("""COMPUTED_VALUE"""),"Burton")</f>
        <v>Burton</v>
      </c>
      <c r="E235" s="4">
        <f ca="1">IFERROR(__xludf.DUMMYFUNCTION("""COMPUTED_VALUE"""),25.39)</f>
        <v>25.39</v>
      </c>
      <c r="F235" s="1"/>
    </row>
    <row r="236" spans="1:6" x14ac:dyDescent="0.2">
      <c r="A236" s="1">
        <f ca="1">IFERROR(__xludf.DUMMYFUNCTION("""COMPUTED_VALUE"""),121)</f>
        <v>121</v>
      </c>
      <c r="B236" s="1" t="str">
        <f ca="1">IFERROR(__xludf.DUMMYFUNCTION("""COMPUTED_VALUE"""),"Ethan")</f>
        <v>Ethan</v>
      </c>
      <c r="C236" s="1" t="str">
        <f ca="1">IFERROR(__xludf.DUMMYFUNCTION("""COMPUTED_VALUE"""),"Borrill-Townsend")</f>
        <v>Borrill-Townsend</v>
      </c>
      <c r="D236" s="1" t="str">
        <f ca="1">IFERROR(__xludf.DUMMYFUNCTION("""COMPUTED_VALUE"""),"Grimsby")</f>
        <v>Grimsby</v>
      </c>
      <c r="E236" s="4">
        <f ca="1">IFERROR(__xludf.DUMMYFUNCTION("""COMPUTED_VALUE"""),26.09)</f>
        <v>26.09</v>
      </c>
      <c r="F236" s="1"/>
    </row>
    <row r="237" spans="1:6" x14ac:dyDescent="0.2">
      <c r="A237" s="3" t="str">
        <f ca="1">IFERROR(__xludf.DUMMYFUNCTION("""COMPUTED_VALUE"""),"U16 Boys 200m B Race")</f>
        <v>U16 Boys 200m B Race</v>
      </c>
      <c r="B237" s="3"/>
      <c r="C237" s="3" t="str">
        <f ca="1">IFERROR(__xludf.DUMMYFUNCTION("""COMPUTED_VALUE"""),"Wind speed")</f>
        <v>Wind speed</v>
      </c>
      <c r="D237" s="3">
        <v>-2.1</v>
      </c>
      <c r="E237" s="3"/>
      <c r="F237" s="1"/>
    </row>
    <row r="238" spans="1:6" x14ac:dyDescent="0.2">
      <c r="A238" s="1">
        <f ca="1">IFERROR(__xludf.DUMMYFUNCTION("""COMPUTED_VALUE"""),519)</f>
        <v>519</v>
      </c>
      <c r="B238" s="1" t="str">
        <f ca="1">IFERROR(__xludf.DUMMYFUNCTION("""COMPUTED_VALUE"""),"Sam")</f>
        <v>Sam</v>
      </c>
      <c r="C238" s="1" t="str">
        <f ca="1">IFERROR(__xludf.DUMMYFUNCTION("""COMPUTED_VALUE"""),"Sier")</f>
        <v>Sier</v>
      </c>
      <c r="D238" s="1" t="str">
        <f ca="1">IFERROR(__xludf.DUMMYFUNCTION("""COMPUTED_VALUE"""),"Hallamshire")</f>
        <v>Hallamshire</v>
      </c>
      <c r="E238" s="4">
        <f ca="1">IFERROR(__xludf.DUMMYFUNCTION("""COMPUTED_VALUE"""),25.28)</f>
        <v>25.28</v>
      </c>
      <c r="F238" s="1"/>
    </row>
    <row r="239" spans="1:6" x14ac:dyDescent="0.2">
      <c r="A239" s="1">
        <f ca="1">IFERROR(__xludf.DUMMYFUNCTION("""COMPUTED_VALUE"""),122)</f>
        <v>122</v>
      </c>
      <c r="B239" s="1" t="str">
        <f ca="1">IFERROR(__xludf.DUMMYFUNCTION("""COMPUTED_VALUE"""),"Harry")</f>
        <v>Harry</v>
      </c>
      <c r="C239" s="1" t="str">
        <f ca="1">IFERROR(__xludf.DUMMYFUNCTION("""COMPUTED_VALUE"""),"Sargent")</f>
        <v>Sargent</v>
      </c>
      <c r="D239" s="1" t="str">
        <f ca="1">IFERROR(__xludf.DUMMYFUNCTION("""COMPUTED_VALUE"""),"Scunthorpe")</f>
        <v>Scunthorpe</v>
      </c>
      <c r="E239" s="4">
        <f ca="1">IFERROR(__xludf.DUMMYFUNCTION("""COMPUTED_VALUE"""),25.76)</f>
        <v>25.76</v>
      </c>
      <c r="F239" s="1"/>
    </row>
    <row r="240" spans="1:6" x14ac:dyDescent="0.2">
      <c r="A240" s="1">
        <f ca="1">IFERROR(__xludf.DUMMYFUNCTION("""COMPUTED_VALUE"""),421)</f>
        <v>421</v>
      </c>
      <c r="B240" s="1" t="str">
        <f ca="1">IFERROR(__xludf.DUMMYFUNCTION("""COMPUTED_VALUE"""),"Finley")</f>
        <v>Finley</v>
      </c>
      <c r="C240" s="1" t="str">
        <f ca="1">IFERROR(__xludf.DUMMYFUNCTION("""COMPUTED_VALUE"""),"Kemp")</f>
        <v>Kemp</v>
      </c>
      <c r="D240" s="1" t="str">
        <f ca="1">IFERROR(__xludf.DUMMYFUNCTION("""COMPUTED_VALUE"""),"Retford")</f>
        <v>Retford</v>
      </c>
      <c r="E240" s="4">
        <f ca="1">IFERROR(__xludf.DUMMYFUNCTION("""COMPUTED_VALUE"""),25.93)</f>
        <v>25.93</v>
      </c>
      <c r="F240" s="1"/>
    </row>
    <row r="241" spans="1:6" x14ac:dyDescent="0.2">
      <c r="A241" s="3" t="str">
        <f ca="1">IFERROR(__xludf.DUMMYFUNCTION("""COMPUTED_VALUE"""),"U16 Girls 200m A Race")</f>
        <v>U16 Girls 200m A Race</v>
      </c>
      <c r="B241" s="3"/>
      <c r="C241" s="3" t="str">
        <f ca="1">IFERROR(__xludf.DUMMYFUNCTION("""COMPUTED_VALUE"""),"Wind speed")</f>
        <v>Wind speed</v>
      </c>
      <c r="D241" s="3">
        <v>-0.9</v>
      </c>
      <c r="E241" s="3"/>
      <c r="F241" s="1"/>
    </row>
    <row r="242" spans="1:6" x14ac:dyDescent="0.2">
      <c r="A242" s="1">
        <f ca="1">IFERROR(__xludf.DUMMYFUNCTION("""COMPUTED_VALUE"""),49)</f>
        <v>49</v>
      </c>
      <c r="B242" s="1" t="str">
        <f ca="1">IFERROR(__xludf.DUMMYFUNCTION("""COMPUTED_VALUE"""),"Lottie")</f>
        <v>Lottie</v>
      </c>
      <c r="C242" s="1" t="str">
        <f ca="1">IFERROR(__xludf.DUMMYFUNCTION("""COMPUTED_VALUE"""),"Mole")</f>
        <v>Mole</v>
      </c>
      <c r="D242" s="1" t="str">
        <f ca="1">IFERROR(__xludf.DUMMYFUNCTION("""COMPUTED_VALUE"""),"Chesterfield")</f>
        <v>Chesterfield</v>
      </c>
      <c r="E242" s="4">
        <f ca="1">IFERROR(__xludf.DUMMYFUNCTION("""COMPUTED_VALUE"""),27.1)</f>
        <v>27.1</v>
      </c>
      <c r="F242" s="1"/>
    </row>
    <row r="243" spans="1:6" x14ac:dyDescent="0.2">
      <c r="A243" s="1">
        <f ca="1">IFERROR(__xludf.DUMMYFUNCTION("""COMPUTED_VALUE"""),544)</f>
        <v>544</v>
      </c>
      <c r="B243" s="1" t="str">
        <f ca="1">IFERROR(__xludf.DUMMYFUNCTION("""COMPUTED_VALUE"""),"Eagle")</f>
        <v>Eagle</v>
      </c>
      <c r="C243" s="1" t="str">
        <f ca="1">IFERROR(__xludf.DUMMYFUNCTION("""COMPUTED_VALUE"""),"Josephant")</f>
        <v>Josephant</v>
      </c>
      <c r="D243" s="1" t="str">
        <f ca="1">IFERROR(__xludf.DUMMYFUNCTION("""COMPUTED_VALUE"""),"Doncaster")</f>
        <v>Doncaster</v>
      </c>
      <c r="E243" s="4">
        <f ca="1">IFERROR(__xludf.DUMMYFUNCTION("""COMPUTED_VALUE"""),27.2)</f>
        <v>27.2</v>
      </c>
      <c r="F243" s="1"/>
    </row>
    <row r="244" spans="1:6" x14ac:dyDescent="0.2">
      <c r="A244" s="1">
        <f ca="1">IFERROR(__xludf.DUMMYFUNCTION("""COMPUTED_VALUE"""),154)</f>
        <v>154</v>
      </c>
      <c r="B244" s="1" t="str">
        <f ca="1">IFERROR(__xludf.DUMMYFUNCTION("""COMPUTED_VALUE"""),"Lily")</f>
        <v>Lily</v>
      </c>
      <c r="C244" s="1" t="str">
        <f ca="1">IFERROR(__xludf.DUMMYFUNCTION("""COMPUTED_VALUE"""),"Hainsworth")</f>
        <v>Hainsworth</v>
      </c>
      <c r="D244" s="1" t="str">
        <f ca="1">IFERROR(__xludf.DUMMYFUNCTION("""COMPUTED_VALUE"""),"KUHAC")</f>
        <v>KUHAC</v>
      </c>
      <c r="E244" s="4">
        <f ca="1">IFERROR(__xludf.DUMMYFUNCTION("""COMPUTED_VALUE"""),27.74)</f>
        <v>27.74</v>
      </c>
      <c r="F244" s="1"/>
    </row>
    <row r="245" spans="1:6" x14ac:dyDescent="0.2">
      <c r="A245" s="1">
        <f ca="1">IFERROR(__xludf.DUMMYFUNCTION("""COMPUTED_VALUE"""),449)</f>
        <v>449</v>
      </c>
      <c r="B245" s="1" t="str">
        <f ca="1">IFERROR(__xludf.DUMMYFUNCTION("""COMPUTED_VALUE"""),"Abigail")</f>
        <v>Abigail</v>
      </c>
      <c r="C245" s="1" t="str">
        <f ca="1">IFERROR(__xludf.DUMMYFUNCTION("""COMPUTED_VALUE"""),"Sheppard-Howe")</f>
        <v>Sheppard-Howe</v>
      </c>
      <c r="D245" s="1" t="str">
        <f ca="1">IFERROR(__xludf.DUMMYFUNCTION("""COMPUTED_VALUE"""),"Notts")</f>
        <v>Notts</v>
      </c>
      <c r="E245" s="4">
        <f ca="1">IFERROR(__xludf.DUMMYFUNCTION("""COMPUTED_VALUE"""),27.79)</f>
        <v>27.79</v>
      </c>
      <c r="F245" s="1"/>
    </row>
    <row r="246" spans="1:6" x14ac:dyDescent="0.2">
      <c r="A246" s="1">
        <f ca="1">IFERROR(__xludf.DUMMYFUNCTION("""COMPUTED_VALUE"""),344)</f>
        <v>344</v>
      </c>
      <c r="B246" s="1" t="str">
        <f ca="1">IFERROR(__xludf.DUMMYFUNCTION("""COMPUTED_VALUE"""),"Scarlett")</f>
        <v>Scarlett</v>
      </c>
      <c r="C246" s="1" t="str">
        <f ca="1">IFERROR(__xludf.DUMMYFUNCTION("""COMPUTED_VALUE"""),"Edlin")</f>
        <v>Edlin</v>
      </c>
      <c r="D246" s="1" t="str">
        <f ca="1">IFERROR(__xludf.DUMMYFUNCTION("""COMPUTED_VALUE"""),"LWAC")</f>
        <v>LWAC</v>
      </c>
      <c r="E246" s="4">
        <f ca="1">IFERROR(__xludf.DUMMYFUNCTION("""COMPUTED_VALUE"""),30.08)</f>
        <v>30.08</v>
      </c>
      <c r="F246" s="1"/>
    </row>
    <row r="247" spans="1:6" x14ac:dyDescent="0.2">
      <c r="A247" s="3" t="str">
        <f ca="1">IFERROR(__xludf.DUMMYFUNCTION("""COMPUTED_VALUE"""),"U16 Girls 200m B Race")</f>
        <v>U16 Girls 200m B Race</v>
      </c>
      <c r="B247" s="3"/>
      <c r="C247" s="3" t="str">
        <f ca="1">IFERROR(__xludf.DUMMYFUNCTION("""COMPUTED_VALUE"""),"Wind speed")</f>
        <v>Wind speed</v>
      </c>
      <c r="D247" s="3">
        <v>-2.2999999999999998</v>
      </c>
      <c r="E247" s="3"/>
      <c r="F247" s="1"/>
    </row>
    <row r="248" spans="1:6" x14ac:dyDescent="0.2">
      <c r="A248" s="1">
        <f ca="1">IFERROR(__xludf.DUMMYFUNCTION("""COMPUTED_VALUE"""),543)</f>
        <v>543</v>
      </c>
      <c r="B248" s="1" t="str">
        <f ca="1">IFERROR(__xludf.DUMMYFUNCTION("""COMPUTED_VALUE"""),"April")</f>
        <v>April</v>
      </c>
      <c r="C248" s="1" t="str">
        <f ca="1">IFERROR(__xludf.DUMMYFUNCTION("""COMPUTED_VALUE"""),"Richardson")</f>
        <v>Richardson</v>
      </c>
      <c r="D248" s="1" t="str">
        <f ca="1">IFERROR(__xludf.DUMMYFUNCTION("""COMPUTED_VALUE"""),"Hallamshire")</f>
        <v>Hallamshire</v>
      </c>
      <c r="E248" s="4">
        <f ca="1">IFERROR(__xludf.DUMMYFUNCTION("""COMPUTED_VALUE"""),27.39)</f>
        <v>27.39</v>
      </c>
      <c r="F248" s="1"/>
    </row>
    <row r="249" spans="1:6" x14ac:dyDescent="0.2">
      <c r="A249" s="1">
        <f ca="1">IFERROR(__xludf.DUMMYFUNCTION("""COMPUTED_VALUE"""),450)</f>
        <v>450</v>
      </c>
      <c r="B249" s="1" t="str">
        <f ca="1">IFERROR(__xludf.DUMMYFUNCTION("""COMPUTED_VALUE"""),"Edee")</f>
        <v>Edee</v>
      </c>
      <c r="C249" s="1" t="str">
        <f ca="1">IFERROR(__xludf.DUMMYFUNCTION("""COMPUTED_VALUE"""),"Gascoyne")</f>
        <v>Gascoyne</v>
      </c>
      <c r="D249" s="1" t="str">
        <f ca="1">IFERROR(__xludf.DUMMYFUNCTION("""COMPUTED_VALUE"""),"Mansfield")</f>
        <v>Mansfield</v>
      </c>
      <c r="E249" s="4">
        <f ca="1">IFERROR(__xludf.DUMMYFUNCTION("""COMPUTED_VALUE"""),27.82)</f>
        <v>27.82</v>
      </c>
      <c r="F249" s="1"/>
    </row>
    <row r="250" spans="1:6" x14ac:dyDescent="0.2">
      <c r="A250" s="1">
        <f ca="1">IFERROR(__xludf.DUMMYFUNCTION("""COMPUTED_VALUE"""),50)</f>
        <v>50</v>
      </c>
      <c r="B250" s="1" t="str">
        <f ca="1">IFERROR(__xludf.DUMMYFUNCTION("""COMPUTED_VALUE"""),"Bella")</f>
        <v>Bella</v>
      </c>
      <c r="C250" s="1" t="str">
        <f ca="1">IFERROR(__xludf.DUMMYFUNCTION("""COMPUTED_VALUE"""),"Egley")</f>
        <v>Egley</v>
      </c>
      <c r="D250" s="1" t="str">
        <f ca="1">IFERROR(__xludf.DUMMYFUNCTION("""COMPUTED_VALUE"""),"Chesterfield")</f>
        <v>Chesterfield</v>
      </c>
      <c r="E250" s="4">
        <f ca="1">IFERROR(__xludf.DUMMYFUNCTION("""COMPUTED_VALUE"""),28.38)</f>
        <v>28.38</v>
      </c>
      <c r="F250" s="1"/>
    </row>
    <row r="251" spans="1:6" x14ac:dyDescent="0.2">
      <c r="A251" s="1">
        <f ca="1">IFERROR(__xludf.DUMMYFUNCTION("""COMPUTED_VALUE"""),155)</f>
        <v>155</v>
      </c>
      <c r="B251" s="1" t="str">
        <f ca="1">IFERROR(__xludf.DUMMYFUNCTION("""COMPUTED_VALUE"""),"Scarlett")</f>
        <v>Scarlett</v>
      </c>
      <c r="C251" s="1" t="str">
        <f ca="1">IFERROR(__xludf.DUMMYFUNCTION("""COMPUTED_VALUE"""),"Shann")</f>
        <v>Shann</v>
      </c>
      <c r="D251" s="1" t="str">
        <f ca="1">IFERROR(__xludf.DUMMYFUNCTION("""COMPUTED_VALUE"""),"KUHAC")</f>
        <v>KUHAC</v>
      </c>
      <c r="E251" s="4">
        <f ca="1">IFERROR(__xludf.DUMMYFUNCTION("""COMPUTED_VALUE"""),28.41)</f>
        <v>28.41</v>
      </c>
      <c r="F251" s="1"/>
    </row>
    <row r="252" spans="1:6" x14ac:dyDescent="0.2">
      <c r="A252" s="1">
        <f ca="1">IFERROR(__xludf.DUMMYFUNCTION("""COMPUTED_VALUE"""),343)</f>
        <v>343</v>
      </c>
      <c r="B252" s="1" t="str">
        <f ca="1">IFERROR(__xludf.DUMMYFUNCTION("""COMPUTED_VALUE"""),"Imogen")</f>
        <v>Imogen</v>
      </c>
      <c r="C252" s="1" t="str">
        <f ca="1">IFERROR(__xludf.DUMMYFUNCTION("""COMPUTED_VALUE"""),"Burgess")</f>
        <v>Burgess</v>
      </c>
      <c r="D252" s="1" t="str">
        <f ca="1">IFERROR(__xludf.DUMMYFUNCTION("""COMPUTED_VALUE"""),"LWAC")</f>
        <v>LWAC</v>
      </c>
      <c r="E252" s="4">
        <f ca="1">IFERROR(__xludf.DUMMYFUNCTION("""COMPUTED_VALUE"""),31.63)</f>
        <v>31.63</v>
      </c>
      <c r="F252" s="1"/>
    </row>
    <row r="253" spans="1:6" x14ac:dyDescent="0.2">
      <c r="A253" s="3" t="str">
        <f ca="1">IFERROR(__xludf.DUMMYFUNCTION("""COMPUTED_VALUE"""),"U12 Boys 600m")</f>
        <v>U12 Boys 600m</v>
      </c>
      <c r="B253" s="3"/>
      <c r="C253" s="3"/>
      <c r="D253" s="3"/>
      <c r="E253" s="3"/>
      <c r="F253" s="1"/>
    </row>
    <row r="254" spans="1:6" x14ac:dyDescent="0.2">
      <c r="A254" s="1">
        <f ca="1">IFERROR(__xludf.DUMMYFUNCTION("""COMPUTED_VALUE"""),504)</f>
        <v>504</v>
      </c>
      <c r="B254" s="1" t="str">
        <f ca="1">IFERROR(__xludf.DUMMYFUNCTION("""COMPUTED_VALUE"""),"Hrishi")</f>
        <v>Hrishi</v>
      </c>
      <c r="C254" s="1" t="str">
        <f ca="1">IFERROR(__xludf.DUMMYFUNCTION("""COMPUTED_VALUE"""),"Popat")</f>
        <v>Popat</v>
      </c>
      <c r="D254" s="1" t="str">
        <f ca="1">IFERROR(__xludf.DUMMYFUNCTION("""COMPUTED_VALUE"""),"Hallamshire")</f>
        <v>Hallamshire</v>
      </c>
      <c r="E254" s="2">
        <f ca="1">IFERROR(__xludf.DUMMYFUNCTION("""COMPUTED_VALUE"""),0.0012193287037037)</f>
        <v>1.2193287037036999E-3</v>
      </c>
      <c r="F254" s="1"/>
    </row>
    <row r="255" spans="1:6" x14ac:dyDescent="0.2">
      <c r="A255" s="1">
        <f ca="1">IFERROR(__xludf.DUMMYFUNCTION("""COMPUTED_VALUE"""),103)</f>
        <v>103</v>
      </c>
      <c r="B255" s="1" t="str">
        <f ca="1">IFERROR(__xludf.DUMMYFUNCTION("""COMPUTED_VALUE"""),"Nikolas")</f>
        <v>Nikolas</v>
      </c>
      <c r="C255" s="1" t="str">
        <f ca="1">IFERROR(__xludf.DUMMYFUNCTION("""COMPUTED_VALUE"""),"Fields")</f>
        <v>Fields</v>
      </c>
      <c r="D255" s="1" t="str">
        <f ca="1">IFERROR(__xludf.DUMMYFUNCTION("""COMPUTED_VALUE"""),"KUHAC")</f>
        <v>KUHAC</v>
      </c>
      <c r="E255" s="2">
        <f ca="1">IFERROR(__xludf.DUMMYFUNCTION("""COMPUTED_VALUE"""),0.00124618055555555)</f>
        <v>1.2461805555555501E-3</v>
      </c>
      <c r="F255" s="1"/>
    </row>
    <row r="256" spans="1:6" x14ac:dyDescent="0.2">
      <c r="A256" s="1">
        <f ca="1">IFERROR(__xludf.DUMMYFUNCTION("""COMPUTED_VALUE"""),402)</f>
        <v>402</v>
      </c>
      <c r="B256" s="1" t="str">
        <f ca="1">IFERROR(__xludf.DUMMYFUNCTION("""COMPUTED_VALUE"""),"Tre")</f>
        <v>Tre</v>
      </c>
      <c r="C256" s="1" t="str">
        <f ca="1">IFERROR(__xludf.DUMMYFUNCTION("""COMPUTED_VALUE"""),"Seamer")</f>
        <v>Seamer</v>
      </c>
      <c r="D256" s="1" t="str">
        <f ca="1">IFERROR(__xludf.DUMMYFUNCTION("""COMPUTED_VALUE"""),"Notts")</f>
        <v>Notts</v>
      </c>
      <c r="E256" s="2">
        <f ca="1">IFERROR(__xludf.DUMMYFUNCTION("""COMPUTED_VALUE"""),0.00126956018518518)</f>
        <v>1.26956018518518E-3</v>
      </c>
      <c r="F256" s="1"/>
    </row>
    <row r="257" spans="1:6" x14ac:dyDescent="0.2">
      <c r="A257" s="1">
        <f ca="1">IFERROR(__xludf.DUMMYFUNCTION("""COMPUTED_VALUE"""),500)</f>
        <v>500</v>
      </c>
      <c r="B257" s="1" t="str">
        <f ca="1">IFERROR(__xludf.DUMMYFUNCTION("""COMPUTED_VALUE"""),"Preston")</f>
        <v>Preston</v>
      </c>
      <c r="C257" s="1" t="str">
        <f ca="1">IFERROR(__xludf.DUMMYFUNCTION("""COMPUTED_VALUE"""),"Liversidge")</f>
        <v>Liversidge</v>
      </c>
      <c r="D257" s="1" t="str">
        <f ca="1">IFERROR(__xludf.DUMMYFUNCTION("""COMPUTED_VALUE"""),"Doncaster")</f>
        <v>Doncaster</v>
      </c>
      <c r="E257" s="2">
        <f ca="1">IFERROR(__xludf.DUMMYFUNCTION("""COMPUTED_VALUE"""),0.001278125)</f>
        <v>1.278125E-3</v>
      </c>
      <c r="F257" s="1"/>
    </row>
    <row r="258" spans="1:6" x14ac:dyDescent="0.2">
      <c r="A258" s="1">
        <f ca="1">IFERROR(__xludf.DUMMYFUNCTION("""COMPUTED_VALUE"""),104)</f>
        <v>104</v>
      </c>
      <c r="B258" s="1" t="str">
        <f ca="1">IFERROR(__xludf.DUMMYFUNCTION("""COMPUTED_VALUE"""),"George")</f>
        <v>George</v>
      </c>
      <c r="C258" s="1" t="str">
        <f ca="1">IFERROR(__xludf.DUMMYFUNCTION("""COMPUTED_VALUE"""),"Fenton")</f>
        <v>Fenton</v>
      </c>
      <c r="D258" s="1" t="str">
        <f ca="1">IFERROR(__xludf.DUMMYFUNCTION("""COMPUTED_VALUE"""),"Barton")</f>
        <v>Barton</v>
      </c>
      <c r="E258" s="2">
        <f ca="1">IFERROR(__xludf.DUMMYFUNCTION("""COMPUTED_VALUE"""),0.00129398148148148)</f>
        <v>1.2939814814814799E-3</v>
      </c>
      <c r="F258" s="1"/>
    </row>
    <row r="259" spans="1:6" x14ac:dyDescent="0.2">
      <c r="A259" s="1">
        <f ca="1">IFERROR(__xludf.DUMMYFUNCTION("""COMPUTED_VALUE"""),305)</f>
        <v>305</v>
      </c>
      <c r="B259" s="1" t="str">
        <f ca="1">IFERROR(__xludf.DUMMYFUNCTION("""COMPUTED_VALUE"""),"Ollie")</f>
        <v>Ollie</v>
      </c>
      <c r="C259" s="1" t="str">
        <f ca="1">IFERROR(__xludf.DUMMYFUNCTION("""COMPUTED_VALUE"""),"Ireland")</f>
        <v>Ireland</v>
      </c>
      <c r="D259" s="1" t="str">
        <f ca="1">IFERROR(__xludf.DUMMYFUNCTION("""COMPUTED_VALUE"""),"LWAC")</f>
        <v>LWAC</v>
      </c>
      <c r="E259" s="2">
        <f ca="1">IFERROR(__xludf.DUMMYFUNCTION("""COMPUTED_VALUE"""),0.00130011574074074)</f>
        <v>1.3001157407407399E-3</v>
      </c>
      <c r="F259" s="1"/>
    </row>
    <row r="260" spans="1:6" x14ac:dyDescent="0.2">
      <c r="A260" s="1">
        <f ca="1">IFERROR(__xludf.DUMMYFUNCTION("""COMPUTED_VALUE"""),404)</f>
        <v>404</v>
      </c>
      <c r="B260" s="1" t="str">
        <f ca="1">IFERROR(__xludf.DUMMYFUNCTION("""COMPUTED_VALUE"""),"George")</f>
        <v>George</v>
      </c>
      <c r="C260" s="1" t="str">
        <f ca="1">IFERROR(__xludf.DUMMYFUNCTION("""COMPUTED_VALUE"""),"North")</f>
        <v>North</v>
      </c>
      <c r="D260" s="1" t="str">
        <f ca="1">IFERROR(__xludf.DUMMYFUNCTION("""COMPUTED_VALUE"""),"Worksop")</f>
        <v>Worksop</v>
      </c>
      <c r="E260" s="2">
        <f ca="1">IFERROR(__xludf.DUMMYFUNCTION("""COMPUTED_VALUE"""),0.00132094907407407)</f>
        <v>1.3209490740740701E-3</v>
      </c>
      <c r="F260" s="1"/>
    </row>
    <row r="261" spans="1:6" x14ac:dyDescent="0.2">
      <c r="A261" s="1">
        <f ca="1">IFERROR(__xludf.DUMMYFUNCTION("""COMPUTED_VALUE"""),1)</f>
        <v>1</v>
      </c>
      <c r="B261" s="1" t="str">
        <f ca="1">IFERROR(__xludf.DUMMYFUNCTION("""COMPUTED_VALUE"""),"Reggie")</f>
        <v>Reggie</v>
      </c>
      <c r="C261" s="1" t="str">
        <f ca="1">IFERROR(__xludf.DUMMYFUNCTION("""COMPUTED_VALUE"""),"Taylor")</f>
        <v>Taylor</v>
      </c>
      <c r="D261" s="1" t="str">
        <f ca="1">IFERROR(__xludf.DUMMYFUNCTION("""COMPUTED_VALUE"""),"AVEAC")</f>
        <v>AVEAC</v>
      </c>
      <c r="E261" s="2">
        <f ca="1">IFERROR(__xludf.DUMMYFUNCTION("""COMPUTED_VALUE"""),0.00133402777777777)</f>
        <v>1.3340277777777699E-3</v>
      </c>
      <c r="F261" s="1"/>
    </row>
    <row r="262" spans="1:6" x14ac:dyDescent="0.2">
      <c r="A262" s="1">
        <f ca="1">IFERROR(__xludf.DUMMYFUNCTION("""COMPUTED_VALUE"""),304)</f>
        <v>304</v>
      </c>
      <c r="B262" s="1" t="str">
        <f ca="1">IFERROR(__xludf.DUMMYFUNCTION("""COMPUTED_VALUE"""),"Leo")</f>
        <v>Leo</v>
      </c>
      <c r="C262" s="1" t="str">
        <f ca="1">IFERROR(__xludf.DUMMYFUNCTION("""COMPUTED_VALUE"""),"Arias Jerez")</f>
        <v>Arias Jerez</v>
      </c>
      <c r="D262" s="1" t="str">
        <f ca="1">IFERROR(__xludf.DUMMYFUNCTION("""COMPUTED_VALUE"""),"LWAC")</f>
        <v>LWAC</v>
      </c>
      <c r="E262" s="2">
        <f ca="1">IFERROR(__xludf.DUMMYFUNCTION("""COMPUTED_VALUE"""),0.00138506944444444)</f>
        <v>1.3850694444444401E-3</v>
      </c>
      <c r="F262" s="1"/>
    </row>
    <row r="263" spans="1:6" x14ac:dyDescent="0.2">
      <c r="A263" s="3" t="str">
        <f ca="1">IFERROR(__xludf.DUMMYFUNCTION("""COMPUTED_VALUE"""),"U12 Girls 600m")</f>
        <v>U12 Girls 600m</v>
      </c>
      <c r="B263" s="3"/>
      <c r="C263" s="3"/>
      <c r="D263" s="3"/>
      <c r="E263" s="3"/>
      <c r="F263" s="1"/>
    </row>
    <row r="264" spans="1:6" x14ac:dyDescent="0.2">
      <c r="A264" s="1">
        <f ca="1">IFERROR(__xludf.DUMMYFUNCTION("""COMPUTED_VALUE"""),330)</f>
        <v>330</v>
      </c>
      <c r="B264" s="1" t="str">
        <f ca="1">IFERROR(__xludf.DUMMYFUNCTION("""COMPUTED_VALUE"""),"Darcey")</f>
        <v>Darcey</v>
      </c>
      <c r="C264" s="1" t="str">
        <f ca="1">IFERROR(__xludf.DUMMYFUNCTION("""COMPUTED_VALUE"""),"Windle")</f>
        <v>Windle</v>
      </c>
      <c r="D264" s="1" t="str">
        <f ca="1">IFERROR(__xludf.DUMMYFUNCTION("""COMPUTED_VALUE"""),"LWAC")</f>
        <v>LWAC</v>
      </c>
      <c r="E264" s="2">
        <f ca="1">IFERROR(__xludf.DUMMYFUNCTION("""COMPUTED_VALUE"""),0.00126249999999999)</f>
        <v>1.26249999999999E-3</v>
      </c>
      <c r="F264" s="1"/>
    </row>
    <row r="265" spans="1:6" x14ac:dyDescent="0.2">
      <c r="A265" s="1">
        <f ca="1">IFERROR(__xludf.DUMMYFUNCTION("""COMPUTED_VALUE"""),137)</f>
        <v>137</v>
      </c>
      <c r="B265" s="1" t="str">
        <f ca="1">IFERROR(__xludf.DUMMYFUNCTION("""COMPUTED_VALUE"""),"Sydnei")</f>
        <v>Sydnei</v>
      </c>
      <c r="C265" s="1" t="str">
        <f ca="1">IFERROR(__xludf.DUMMYFUNCTION("""COMPUTED_VALUE"""),"Lei Burke")</f>
        <v>Lei Burke</v>
      </c>
      <c r="D265" s="1" t="str">
        <f ca="1">IFERROR(__xludf.DUMMYFUNCTION("""COMPUTED_VALUE"""),"KUHAC")</f>
        <v>KUHAC</v>
      </c>
      <c r="E265" s="2">
        <f ca="1">IFERROR(__xludf.DUMMYFUNCTION("""COMPUTED_VALUE"""),0.00131203703703703)</f>
        <v>1.31203703703703E-3</v>
      </c>
      <c r="F265" s="1"/>
    </row>
    <row r="266" spans="1:6" x14ac:dyDescent="0.2">
      <c r="A266" s="1">
        <f ca="1">IFERROR(__xludf.DUMMYFUNCTION("""COMPUTED_VALUE"""),529)</f>
        <v>529</v>
      </c>
      <c r="B266" s="1" t="str">
        <f ca="1">IFERROR(__xludf.DUMMYFUNCTION("""COMPUTED_VALUE"""),"Sophia")</f>
        <v>Sophia</v>
      </c>
      <c r="C266" s="1" t="str">
        <f ca="1">IFERROR(__xludf.DUMMYFUNCTION("""COMPUTED_VALUE"""),"Jones Wainwright")</f>
        <v>Jones Wainwright</v>
      </c>
      <c r="D266" s="1" t="str">
        <f ca="1">IFERROR(__xludf.DUMMYFUNCTION("""COMPUTED_VALUE"""),"Doncaster")</f>
        <v>Doncaster</v>
      </c>
      <c r="E266" s="2">
        <f ca="1">IFERROR(__xludf.DUMMYFUNCTION("""COMPUTED_VALUE"""),0.00131481481481481)</f>
        <v>1.3148148148148099E-3</v>
      </c>
      <c r="F266" s="1"/>
    </row>
    <row r="267" spans="1:6" x14ac:dyDescent="0.2">
      <c r="A267" s="1">
        <f ca="1">IFERROR(__xludf.DUMMYFUNCTION("""COMPUTED_VALUE"""),528)</f>
        <v>528</v>
      </c>
      <c r="B267" s="1" t="str">
        <f ca="1">IFERROR(__xludf.DUMMYFUNCTION("""COMPUTED_VALUE"""),"Verity")</f>
        <v>Verity</v>
      </c>
      <c r="C267" s="1" t="str">
        <f ca="1">IFERROR(__xludf.DUMMYFUNCTION("""COMPUTED_VALUE"""),"Marshall")</f>
        <v>Marshall</v>
      </c>
      <c r="D267" s="1" t="str">
        <f ca="1">IFERROR(__xludf.DUMMYFUNCTION("""COMPUTED_VALUE"""),"Hallamshire")</f>
        <v>Hallamshire</v>
      </c>
      <c r="E267" s="2">
        <f ca="1">IFERROR(__xludf.DUMMYFUNCTION("""COMPUTED_VALUE"""),0.00137164351851851)</f>
        <v>1.3716435185185099E-3</v>
      </c>
      <c r="F267" s="1"/>
    </row>
    <row r="268" spans="1:6" x14ac:dyDescent="0.2">
      <c r="A268" s="1">
        <f ca="1">IFERROR(__xludf.DUMMYFUNCTION("""COMPUTED_VALUE"""),136)</f>
        <v>136</v>
      </c>
      <c r="B268" s="1" t="str">
        <f ca="1">IFERROR(__xludf.DUMMYFUNCTION("""COMPUTED_VALUE"""),"Holly")</f>
        <v>Holly</v>
      </c>
      <c r="C268" s="1" t="str">
        <f ca="1">IFERROR(__xludf.DUMMYFUNCTION("""COMPUTED_VALUE"""),"Edge")</f>
        <v>Edge</v>
      </c>
      <c r="D268" s="1" t="str">
        <f ca="1">IFERROR(__xludf.DUMMYFUNCTION("""COMPUTED_VALUE"""),"KUHAC")</f>
        <v>KUHAC</v>
      </c>
      <c r="E268" s="2">
        <f ca="1">IFERROR(__xludf.DUMMYFUNCTION("""COMPUTED_VALUE"""),0.00139004629629629)</f>
        <v>1.3900462962962901E-3</v>
      </c>
      <c r="F268" s="1"/>
    </row>
    <row r="269" spans="1:6" x14ac:dyDescent="0.2">
      <c r="A269" s="1">
        <f ca="1">IFERROR(__xludf.DUMMYFUNCTION("""COMPUTED_VALUE"""),31)</f>
        <v>31</v>
      </c>
      <c r="B269" s="1" t="str">
        <f ca="1">IFERROR(__xludf.DUMMYFUNCTION("""COMPUTED_VALUE"""),"Florence")</f>
        <v>Florence</v>
      </c>
      <c r="C269" s="1" t="str">
        <f ca="1">IFERROR(__xludf.DUMMYFUNCTION("""COMPUTED_VALUE"""),"Sibley")</f>
        <v>Sibley</v>
      </c>
      <c r="D269" s="1" t="str">
        <f ca="1">IFERROR(__xludf.DUMMYFUNCTION("""COMPUTED_VALUE"""),"AVEAC")</f>
        <v>AVEAC</v>
      </c>
      <c r="E269" s="2">
        <f ca="1">IFERROR(__xludf.DUMMYFUNCTION("""COMPUTED_VALUE"""),0.00139513888888888)</f>
        <v>1.39513888888888E-3</v>
      </c>
      <c r="F269" s="1"/>
    </row>
    <row r="270" spans="1:6" x14ac:dyDescent="0.2">
      <c r="A270" s="1">
        <f ca="1">IFERROR(__xludf.DUMMYFUNCTION("""COMPUTED_VALUE"""),431)</f>
        <v>431</v>
      </c>
      <c r="B270" s="1" t="str">
        <f ca="1">IFERROR(__xludf.DUMMYFUNCTION("""COMPUTED_VALUE"""),"Freya")</f>
        <v>Freya</v>
      </c>
      <c r="C270" s="1" t="str">
        <f ca="1">IFERROR(__xludf.DUMMYFUNCTION("""COMPUTED_VALUE"""),"Jennings")</f>
        <v>Jennings</v>
      </c>
      <c r="D270" s="1" t="str">
        <f ca="1">IFERROR(__xludf.DUMMYFUNCTION("""COMPUTED_VALUE"""),"Rushcliffe")</f>
        <v>Rushcliffe</v>
      </c>
      <c r="E270" s="2">
        <f ca="1">IFERROR(__xludf.DUMMYFUNCTION("""COMPUTED_VALUE"""),0.00140636574074074)</f>
        <v>1.4063657407407399E-3</v>
      </c>
      <c r="F270" s="1"/>
    </row>
    <row r="271" spans="1:6" x14ac:dyDescent="0.2">
      <c r="A271" s="1">
        <f ca="1">IFERROR(__xludf.DUMMYFUNCTION("""COMPUTED_VALUE"""),30)</f>
        <v>30</v>
      </c>
      <c r="B271" s="1" t="str">
        <f ca="1">IFERROR(__xludf.DUMMYFUNCTION("""COMPUTED_VALUE"""),"Chloe")</f>
        <v>Chloe</v>
      </c>
      <c r="C271" s="1" t="str">
        <f ca="1">IFERROR(__xludf.DUMMYFUNCTION("""COMPUTED_VALUE"""),"Walker")</f>
        <v>Walker</v>
      </c>
      <c r="D271" s="1" t="str">
        <f ca="1">IFERROR(__xludf.DUMMYFUNCTION("""COMPUTED_VALUE"""),"Derby")</f>
        <v>Derby</v>
      </c>
      <c r="E271" s="2">
        <f ca="1">IFERROR(__xludf.DUMMYFUNCTION("""COMPUTED_VALUE"""),0.00140891203703703)</f>
        <v>1.4089120370370299E-3</v>
      </c>
      <c r="F271" s="1"/>
    </row>
    <row r="272" spans="1:6" x14ac:dyDescent="0.2">
      <c r="A272" s="1">
        <f ca="1">IFERROR(__xludf.DUMMYFUNCTION("""COMPUTED_VALUE"""),434)</f>
        <v>434</v>
      </c>
      <c r="B272" s="1" t="str">
        <f ca="1">IFERROR(__xludf.DUMMYFUNCTION("""COMPUTED_VALUE"""),"Isla")</f>
        <v>Isla</v>
      </c>
      <c r="C272" s="1" t="str">
        <f ca="1">IFERROR(__xludf.DUMMYFUNCTION("""COMPUTED_VALUE"""),"Hungtington")</f>
        <v>Hungtington</v>
      </c>
      <c r="D272" s="1" t="str">
        <f ca="1">IFERROR(__xludf.DUMMYFUNCTION("""COMPUTED_VALUE"""),"Mansfield")</f>
        <v>Mansfield</v>
      </c>
      <c r="E272" s="2">
        <f ca="1">IFERROR(__xludf.DUMMYFUNCTION("""COMPUTED_VALUE"""),0.0014125)</f>
        <v>1.4124999999999999E-3</v>
      </c>
      <c r="F272" s="1"/>
    </row>
    <row r="273" spans="1:6" x14ac:dyDescent="0.2">
      <c r="A273" s="1">
        <f ca="1">IFERROR(__xludf.DUMMYFUNCTION("""COMPUTED_VALUE"""),331)</f>
        <v>331</v>
      </c>
      <c r="B273" s="1" t="str">
        <f ca="1">IFERROR(__xludf.DUMMYFUNCTION("""COMPUTED_VALUE"""),"Poppy")</f>
        <v>Poppy</v>
      </c>
      <c r="C273" s="1" t="str">
        <f ca="1">IFERROR(__xludf.DUMMYFUNCTION("""COMPUTED_VALUE"""),"Johnson")</f>
        <v>Johnson</v>
      </c>
      <c r="D273" s="1" t="str">
        <f ca="1">IFERROR(__xludf.DUMMYFUNCTION("""COMPUTED_VALUE"""),"LWAC")</f>
        <v>LWAC</v>
      </c>
      <c r="E273" s="2">
        <f ca="1">IFERROR(__xludf.DUMMYFUNCTION("""COMPUTED_VALUE"""),0.00146585648148148)</f>
        <v>1.4658564814814801E-3</v>
      </c>
      <c r="F273" s="1"/>
    </row>
    <row r="274" spans="1:6" x14ac:dyDescent="0.2">
      <c r="A274" s="3" t="str">
        <f ca="1">IFERROR(__xludf.DUMMYFUNCTION("""COMPUTED_VALUE"""),"U16 Boys 1,500m")</f>
        <v>U16 Boys 1,500m</v>
      </c>
      <c r="B274" s="3" t="str">
        <f ca="1">IFERROR(__xludf.DUMMYFUNCTION("""COMPUTED_VALUE"""),"")</f>
        <v/>
      </c>
      <c r="C274" s="3" t="str">
        <f ca="1">IFERROR(__xludf.DUMMYFUNCTION("""COMPUTED_VALUE"""),"")</f>
        <v/>
      </c>
      <c r="D274" s="3" t="str">
        <f ca="1">IFERROR(__xludf.DUMMYFUNCTION("""COMPUTED_VALUE"""),"")</f>
        <v/>
      </c>
      <c r="E274" s="3"/>
      <c r="F274" s="1"/>
    </row>
    <row r="275" spans="1:6" x14ac:dyDescent="0.2">
      <c r="A275" s="1">
        <f ca="1">IFERROR(__xludf.DUMMYFUNCTION("""COMPUTED_VALUE"""),21)</f>
        <v>21</v>
      </c>
      <c r="B275" s="1" t="str">
        <f ca="1">IFERROR(__xludf.DUMMYFUNCTION("""COMPUTED_VALUE"""),"Osniel")</f>
        <v>Osniel</v>
      </c>
      <c r="C275" s="1" t="str">
        <f ca="1">IFERROR(__xludf.DUMMYFUNCTION("""COMPUTED_VALUE"""),"Segal")</f>
        <v>Segal</v>
      </c>
      <c r="D275" s="1" t="str">
        <f ca="1">IFERROR(__xludf.DUMMYFUNCTION("""COMPUTED_VALUE"""),"Derby")</f>
        <v>Derby</v>
      </c>
      <c r="E275" s="2">
        <f ca="1">IFERROR(__xludf.DUMMYFUNCTION("""COMPUTED_VALUE"""),0.00295844907407407)</f>
        <v>2.9584490740740699E-3</v>
      </c>
      <c r="F275" s="1"/>
    </row>
    <row r="276" spans="1:6" x14ac:dyDescent="0.2">
      <c r="A276" s="1">
        <f ca="1">IFERROR(__xludf.DUMMYFUNCTION("""COMPUTED_VALUE"""),521)</f>
        <v>521</v>
      </c>
      <c r="B276" s="1" t="str">
        <f ca="1">IFERROR(__xludf.DUMMYFUNCTION("""COMPUTED_VALUE"""),"Jacob")</f>
        <v>Jacob</v>
      </c>
      <c r="C276" s="1" t="str">
        <f ca="1">IFERROR(__xludf.DUMMYFUNCTION("""COMPUTED_VALUE"""),"Dawe")</f>
        <v>Dawe</v>
      </c>
      <c r="D276" s="1" t="str">
        <f ca="1">IFERROR(__xludf.DUMMYFUNCTION("""COMPUTED_VALUE"""),"Hallamshire")</f>
        <v>Hallamshire</v>
      </c>
      <c r="E276" s="2">
        <f ca="1">IFERROR(__xludf.DUMMYFUNCTION("""COMPUTED_VALUE"""),0.00296597222222222)</f>
        <v>2.9659722222222201E-3</v>
      </c>
      <c r="F276" s="1"/>
    </row>
    <row r="277" spans="1:6" x14ac:dyDescent="0.2">
      <c r="A277" s="1">
        <f ca="1">IFERROR(__xludf.DUMMYFUNCTION("""COMPUTED_VALUE"""),522)</f>
        <v>522</v>
      </c>
      <c r="B277" s="1" t="str">
        <f ca="1">IFERROR(__xludf.DUMMYFUNCTION("""COMPUTED_VALUE"""),"Edward")</f>
        <v>Edward</v>
      </c>
      <c r="C277" s="1" t="str">
        <f ca="1">IFERROR(__xludf.DUMMYFUNCTION("""COMPUTED_VALUE"""),"Rose")</f>
        <v>Rose</v>
      </c>
      <c r="D277" s="1" t="str">
        <f ca="1">IFERROR(__xludf.DUMMYFUNCTION("""COMPUTED_VALUE"""),"Rotherham")</f>
        <v>Rotherham</v>
      </c>
      <c r="E277" s="2">
        <f ca="1">IFERROR(__xludf.DUMMYFUNCTION("""COMPUTED_VALUE"""),0.00301076388888888)</f>
        <v>3.0107638888888801E-3</v>
      </c>
      <c r="F277" s="1"/>
    </row>
    <row r="278" spans="1:6" x14ac:dyDescent="0.2">
      <c r="A278" s="1">
        <f ca="1">IFERROR(__xludf.DUMMYFUNCTION("""COMPUTED_VALUE"""),125)</f>
        <v>125</v>
      </c>
      <c r="B278" s="1" t="str">
        <f ca="1">IFERROR(__xludf.DUMMYFUNCTION("""COMPUTED_VALUE"""),"Rhys")</f>
        <v>Rhys</v>
      </c>
      <c r="C278" s="1" t="str">
        <f ca="1">IFERROR(__xludf.DUMMYFUNCTION("""COMPUTED_VALUE"""),"Davies")</f>
        <v>Davies</v>
      </c>
      <c r="D278" s="1" t="str">
        <f ca="1">IFERROR(__xludf.DUMMYFUNCTION("""COMPUTED_VALUE"""),"Scunthorpe")</f>
        <v>Scunthorpe</v>
      </c>
      <c r="E278" s="2">
        <f ca="1">IFERROR(__xludf.DUMMYFUNCTION("""COMPUTED_VALUE"""),0.00303958333333333)</f>
        <v>3.0395833333333299E-3</v>
      </c>
      <c r="F278" s="1"/>
    </row>
    <row r="279" spans="1:6" x14ac:dyDescent="0.2">
      <c r="A279" s="1">
        <f ca="1">IFERROR(__xludf.DUMMYFUNCTION("""COMPUTED_VALUE"""),322)</f>
        <v>322</v>
      </c>
      <c r="B279" s="1" t="str">
        <f ca="1">IFERROR(__xludf.DUMMYFUNCTION("""COMPUTED_VALUE"""),"Aidan")</f>
        <v>Aidan</v>
      </c>
      <c r="C279" s="1" t="str">
        <f ca="1">IFERROR(__xludf.DUMMYFUNCTION("""COMPUTED_VALUE"""),"Beckwith")</f>
        <v>Beckwith</v>
      </c>
      <c r="D279" s="1" t="str">
        <f ca="1">IFERROR(__xludf.DUMMYFUNCTION("""COMPUTED_VALUE"""),"LWAC")</f>
        <v>LWAC</v>
      </c>
      <c r="E279" s="2">
        <f ca="1">IFERROR(__xludf.DUMMYFUNCTION("""COMPUTED_VALUE"""),0.00306574074074074)</f>
        <v>3.06574074074074E-3</v>
      </c>
      <c r="F279" s="1"/>
    </row>
    <row r="280" spans="1:6" x14ac:dyDescent="0.2">
      <c r="A280" s="1">
        <f ca="1">IFERROR(__xludf.DUMMYFUNCTION("""COMPUTED_VALUE"""),319)</f>
        <v>319</v>
      </c>
      <c r="B280" s="1"/>
      <c r="C280" s="1"/>
      <c r="D280" s="1"/>
      <c r="E280" s="2">
        <f ca="1">IFERROR(__xludf.DUMMYFUNCTION("""COMPUTED_VALUE"""),0.00311585648148148)</f>
        <v>3.1158564814814799E-3</v>
      </c>
      <c r="F280" s="1"/>
    </row>
    <row r="281" spans="1:6" x14ac:dyDescent="0.2">
      <c r="A281" s="1">
        <f ca="1">IFERROR(__xludf.DUMMYFUNCTION("""COMPUTED_VALUE"""),126)</f>
        <v>126</v>
      </c>
      <c r="B281" s="1" t="str">
        <f ca="1">IFERROR(__xludf.DUMMYFUNCTION("""COMPUTED_VALUE"""),"Aaron")</f>
        <v>Aaron</v>
      </c>
      <c r="C281" s="1" t="str">
        <f ca="1">IFERROR(__xludf.DUMMYFUNCTION("""COMPUTED_VALUE"""),"Davies")</f>
        <v>Davies</v>
      </c>
      <c r="D281" s="1" t="str">
        <f ca="1">IFERROR(__xludf.DUMMYFUNCTION("""COMPUTED_VALUE"""),"Scunthorpe")</f>
        <v>Scunthorpe</v>
      </c>
      <c r="E281" s="2">
        <f ca="1">IFERROR(__xludf.DUMMYFUNCTION("""COMPUTED_VALUE"""),0.00315879629629629)</f>
        <v>3.1587962962962902E-3</v>
      </c>
      <c r="F281" s="1"/>
    </row>
    <row r="282" spans="1:6" x14ac:dyDescent="0.2">
      <c r="A282" s="1">
        <f ca="1">IFERROR(__xludf.DUMMYFUNCTION("""COMPUTED_VALUE"""),422)</f>
        <v>422</v>
      </c>
      <c r="B282" s="1" t="str">
        <f ca="1">IFERROR(__xludf.DUMMYFUNCTION("""COMPUTED_VALUE"""),"Harry")</f>
        <v>Harry</v>
      </c>
      <c r="C282" s="1" t="str">
        <f ca="1">IFERROR(__xludf.DUMMYFUNCTION("""COMPUTED_VALUE"""),"Sayers")</f>
        <v>Sayers</v>
      </c>
      <c r="D282" s="1" t="str">
        <f ca="1">IFERROR(__xludf.DUMMYFUNCTION("""COMPUTED_VALUE"""),"Notts")</f>
        <v>Notts</v>
      </c>
      <c r="E282" s="2">
        <f ca="1">IFERROR(__xludf.DUMMYFUNCTION("""COMPUTED_VALUE"""),0.00320185185185185)</f>
        <v>3.2018518518518498E-3</v>
      </c>
      <c r="F282" s="1"/>
    </row>
    <row r="283" spans="1:6" x14ac:dyDescent="0.2">
      <c r="A283" s="1">
        <f ca="1">IFERROR(__xludf.DUMMYFUNCTION("""COMPUTED_VALUE"""),423)</f>
        <v>423</v>
      </c>
      <c r="B283" s="1" t="str">
        <f ca="1">IFERROR(__xludf.DUMMYFUNCTION("""COMPUTED_VALUE"""),"Zach")</f>
        <v>Zach</v>
      </c>
      <c r="C283" s="1" t="str">
        <f ca="1">IFERROR(__xludf.DUMMYFUNCTION("""COMPUTED_VALUE"""),"Ward")</f>
        <v>Ward</v>
      </c>
      <c r="D283" s="1" t="str">
        <f ca="1">IFERROR(__xludf.DUMMYFUNCTION("""COMPUTED_VALUE"""),"Rushcliffe")</f>
        <v>Rushcliffe</v>
      </c>
      <c r="E283" s="2">
        <f ca="1">IFERROR(__xludf.DUMMYFUNCTION("""COMPUTED_VALUE"""),0.00324317129629629)</f>
        <v>3.24317129629629E-3</v>
      </c>
      <c r="F283" s="1"/>
    </row>
    <row r="284" spans="1:6" x14ac:dyDescent="0.2">
      <c r="A284" s="1">
        <f ca="1">IFERROR(__xludf.DUMMYFUNCTION("""COMPUTED_VALUE"""),22)</f>
        <v>22</v>
      </c>
      <c r="B284" s="1" t="str">
        <f ca="1">IFERROR(__xludf.DUMMYFUNCTION("""COMPUTED_VALUE"""),"Frederick")</f>
        <v>Frederick</v>
      </c>
      <c r="C284" s="1" t="str">
        <f ca="1">IFERROR(__xludf.DUMMYFUNCTION("""COMPUTED_VALUE"""),"Harrison")</f>
        <v>Harrison</v>
      </c>
      <c r="D284" s="1" t="str">
        <f ca="1">IFERROR(__xludf.DUMMYFUNCTION("""COMPUTED_VALUE"""),"Derby")</f>
        <v>Derby</v>
      </c>
      <c r="E284" s="2">
        <f ca="1">IFERROR(__xludf.DUMMYFUNCTION("""COMPUTED_VALUE"""),0.00327511574074074)</f>
        <v>3.2751157407407399E-3</v>
      </c>
      <c r="F284" s="1"/>
    </row>
    <row r="285" spans="1:6" x14ac:dyDescent="0.2">
      <c r="A285" s="3" t="str">
        <f ca="1">IFERROR(__xludf.DUMMYFUNCTION("""COMPUTED_VALUE"""),"U16 Girls 1,500m")</f>
        <v>U16 Girls 1,500m</v>
      </c>
      <c r="B285" s="3" t="str">
        <f ca="1">IFERROR(__xludf.DUMMYFUNCTION("""COMPUTED_VALUE"""),"")</f>
        <v/>
      </c>
      <c r="C285" s="3" t="str">
        <f ca="1">IFERROR(__xludf.DUMMYFUNCTION("""COMPUTED_VALUE"""),"")</f>
        <v/>
      </c>
      <c r="D285" s="3" t="str">
        <f ca="1">IFERROR(__xludf.DUMMYFUNCTION("""COMPUTED_VALUE"""),"")</f>
        <v/>
      </c>
      <c r="E285" s="3"/>
      <c r="F285" s="1"/>
    </row>
    <row r="286" spans="1:6" x14ac:dyDescent="0.2">
      <c r="A286" s="1">
        <f ca="1">IFERROR(__xludf.DUMMYFUNCTION("""COMPUTED_VALUE"""),545)</f>
        <v>545</v>
      </c>
      <c r="B286" s="1" t="str">
        <f ca="1">IFERROR(__xludf.DUMMYFUNCTION("""COMPUTED_VALUE"""),"Jessica")</f>
        <v>Jessica</v>
      </c>
      <c r="C286" s="1" t="str">
        <f ca="1">IFERROR(__xludf.DUMMYFUNCTION("""COMPUTED_VALUE"""),"Thake")</f>
        <v>Thake</v>
      </c>
      <c r="D286" s="1" t="str">
        <f ca="1">IFERROR(__xludf.DUMMYFUNCTION("""COMPUTED_VALUE"""),"Hallamshire")</f>
        <v>Hallamshire</v>
      </c>
      <c r="E286" s="2">
        <f ca="1">IFERROR(__xludf.DUMMYFUNCTION("""COMPUTED_VALUE"""),0.00328645833333333)</f>
        <v>3.28645833333333E-3</v>
      </c>
      <c r="F286" s="1"/>
    </row>
    <row r="287" spans="1:6" x14ac:dyDescent="0.2">
      <c r="A287" s="1">
        <f ca="1">IFERROR(__xludf.DUMMYFUNCTION("""COMPUTED_VALUE"""),347)</f>
        <v>347</v>
      </c>
      <c r="B287" s="1" t="str">
        <f ca="1">IFERROR(__xludf.DUMMYFUNCTION("""COMPUTED_VALUE"""),"Florence")</f>
        <v>Florence</v>
      </c>
      <c r="C287" s="1" t="str">
        <f ca="1">IFERROR(__xludf.DUMMYFUNCTION("""COMPUTED_VALUE"""),"Lilly")</f>
        <v>Lilly</v>
      </c>
      <c r="D287" s="1" t="str">
        <f ca="1">IFERROR(__xludf.DUMMYFUNCTION("""COMPUTED_VALUE"""),"LWAC")</f>
        <v>LWAC</v>
      </c>
      <c r="E287" s="2">
        <f ca="1">IFERROR(__xludf.DUMMYFUNCTION("""COMPUTED_VALUE"""),0.00332534722222222)</f>
        <v>3.32534722222222E-3</v>
      </c>
      <c r="F287" s="1"/>
    </row>
    <row r="288" spans="1:6" x14ac:dyDescent="0.2">
      <c r="A288" s="1">
        <f ca="1">IFERROR(__xludf.DUMMYFUNCTION("""COMPUTED_VALUE"""),547)</f>
        <v>547</v>
      </c>
      <c r="B288" s="1" t="str">
        <f ca="1">IFERROR(__xludf.DUMMYFUNCTION("""COMPUTED_VALUE"""),"Molly")</f>
        <v>Molly</v>
      </c>
      <c r="C288" s="1" t="str">
        <f ca="1">IFERROR(__xludf.DUMMYFUNCTION("""COMPUTED_VALUE"""),"Buckley")</f>
        <v>Buckley</v>
      </c>
      <c r="D288" s="1" t="str">
        <f ca="1">IFERROR(__xludf.DUMMYFUNCTION("""COMPUTED_VALUE"""),"Hallamshire")</f>
        <v>Hallamshire</v>
      </c>
      <c r="E288" s="2">
        <f ca="1">IFERROR(__xludf.DUMMYFUNCTION("""COMPUTED_VALUE"""),0.00336481481481481)</f>
        <v>3.3648148148148101E-3</v>
      </c>
      <c r="F288" s="1"/>
    </row>
    <row r="289" spans="1:6" x14ac:dyDescent="0.2">
      <c r="A289" s="1">
        <f ca="1">IFERROR(__xludf.DUMMYFUNCTION("""COMPUTED_VALUE"""),158)</f>
        <v>158</v>
      </c>
      <c r="B289" s="1" t="str">
        <f ca="1">IFERROR(__xludf.DUMMYFUNCTION("""COMPUTED_VALUE"""),"Isabelle")</f>
        <v>Isabelle</v>
      </c>
      <c r="C289" s="1" t="str">
        <f ca="1">IFERROR(__xludf.DUMMYFUNCTION("""COMPUTED_VALUE"""),"Riggall")</f>
        <v>Riggall</v>
      </c>
      <c r="D289" s="1" t="str">
        <f ca="1">IFERROR(__xludf.DUMMYFUNCTION("""COMPUTED_VALUE"""),"Cleethorpes")</f>
        <v>Cleethorpes</v>
      </c>
      <c r="E289" s="2">
        <f ca="1">IFERROR(__xludf.DUMMYFUNCTION("""COMPUTED_VALUE"""),0.0034349537037037)</f>
        <v>3.4349537037037001E-3</v>
      </c>
      <c r="F289" s="1"/>
    </row>
    <row r="290" spans="1:6" x14ac:dyDescent="0.2">
      <c r="A290" s="1">
        <f ca="1">IFERROR(__xludf.DUMMYFUNCTION("""COMPUTED_VALUE"""),348)</f>
        <v>348</v>
      </c>
      <c r="B290" s="1" t="str">
        <f ca="1">IFERROR(__xludf.DUMMYFUNCTION("""COMPUTED_VALUE"""),"Eva")</f>
        <v>Eva</v>
      </c>
      <c r="C290" s="1" t="str">
        <f ca="1">IFERROR(__xludf.DUMMYFUNCTION("""COMPUTED_VALUE"""),"Hart")</f>
        <v>Hart</v>
      </c>
      <c r="D290" s="1" t="str">
        <f ca="1">IFERROR(__xludf.DUMMYFUNCTION("""COMPUTED_VALUE"""),"LWAC")</f>
        <v>LWAC</v>
      </c>
      <c r="E290" s="2">
        <f ca="1">IFERROR(__xludf.DUMMYFUNCTION("""COMPUTED_VALUE"""),0.00348171296296296)</f>
        <v>3.4817129629629599E-3</v>
      </c>
      <c r="F290" s="1"/>
    </row>
    <row r="291" spans="1:6" x14ac:dyDescent="0.2">
      <c r="A291" s="1">
        <f ca="1">IFERROR(__xludf.DUMMYFUNCTION("""COMPUTED_VALUE"""),51)</f>
        <v>51</v>
      </c>
      <c r="B291" s="1" t="str">
        <f ca="1">IFERROR(__xludf.DUMMYFUNCTION("""COMPUTED_VALUE"""),"Lucy")</f>
        <v>Lucy</v>
      </c>
      <c r="C291" s="1" t="str">
        <f ca="1">IFERROR(__xludf.DUMMYFUNCTION("""COMPUTED_VALUE"""),"Norman")</f>
        <v>Norman</v>
      </c>
      <c r="D291" s="1" t="str">
        <f ca="1">IFERROR(__xludf.DUMMYFUNCTION("""COMPUTED_VALUE"""),"AVEAC")</f>
        <v>AVEAC</v>
      </c>
      <c r="E291" s="2">
        <f ca="1">IFERROR(__xludf.DUMMYFUNCTION("""COMPUTED_VALUE"""),0.00353032407407407)</f>
        <v>3.5303240740740698E-3</v>
      </c>
      <c r="F291" s="1"/>
    </row>
    <row r="292" spans="1:6" x14ac:dyDescent="0.2">
      <c r="A292" s="1">
        <f ca="1">IFERROR(__xludf.DUMMYFUNCTION("""COMPUTED_VALUE"""),454)</f>
        <v>454</v>
      </c>
      <c r="B292" s="1" t="str">
        <f ca="1">IFERROR(__xludf.DUMMYFUNCTION("""COMPUTED_VALUE"""),"Myanie")</f>
        <v>Myanie</v>
      </c>
      <c r="C292" s="1" t="str">
        <f ca="1">IFERROR(__xludf.DUMMYFUNCTION("""COMPUTED_VALUE"""),"Westwood")</f>
        <v>Westwood</v>
      </c>
      <c r="D292" s="1" t="str">
        <f ca="1">IFERROR(__xludf.DUMMYFUNCTION("""COMPUTED_VALUE"""),"Mansfield")</f>
        <v>Mansfield</v>
      </c>
      <c r="E292" s="2">
        <f ca="1">IFERROR(__xludf.DUMMYFUNCTION("""COMPUTED_VALUE"""),0.00358414351851851)</f>
        <v>3.58414351851851E-3</v>
      </c>
      <c r="F292" s="1"/>
    </row>
    <row r="293" spans="1:6" x14ac:dyDescent="0.2">
      <c r="A293" s="1">
        <f ca="1">IFERROR(__xludf.DUMMYFUNCTION("""COMPUTED_VALUE"""),52)</f>
        <v>52</v>
      </c>
      <c r="B293" s="1" t="str">
        <f ca="1">IFERROR(__xludf.DUMMYFUNCTION("""COMPUTED_VALUE"""),"Dayna")</f>
        <v>Dayna</v>
      </c>
      <c r="C293" s="1" t="str">
        <f ca="1">IFERROR(__xludf.DUMMYFUNCTION("""COMPUTED_VALUE"""),"Kaynes")</f>
        <v>Kaynes</v>
      </c>
      <c r="D293" s="1" t="str">
        <f ca="1">IFERROR(__xludf.DUMMYFUNCTION("""COMPUTED_VALUE"""),"Derby")</f>
        <v>Derby</v>
      </c>
      <c r="E293" s="2">
        <f ca="1">IFERROR(__xludf.DUMMYFUNCTION("""COMPUTED_VALUE"""),0.00366516203703703)</f>
        <v>3.6651620370370301E-3</v>
      </c>
      <c r="F293" s="1"/>
    </row>
    <row r="294" spans="1:6" x14ac:dyDescent="0.2">
      <c r="A294" s="1">
        <f ca="1">IFERROR(__xludf.DUMMYFUNCTION("""COMPUTED_VALUE"""),159)</f>
        <v>159</v>
      </c>
      <c r="B294" s="1" t="str">
        <f ca="1">IFERROR(__xludf.DUMMYFUNCTION("""COMPUTED_VALUE"""),"Megan")</f>
        <v>Megan</v>
      </c>
      <c r="C294" s="1" t="str">
        <f ca="1">IFERROR(__xludf.DUMMYFUNCTION("""COMPUTED_VALUE"""),"Lewis")</f>
        <v>Lewis</v>
      </c>
      <c r="D294" s="1" t="str">
        <f ca="1">IFERROR(__xludf.DUMMYFUNCTION("""COMPUTED_VALUE"""),"KUHAC")</f>
        <v>KUHAC</v>
      </c>
      <c r="E294" s="2">
        <f ca="1">IFERROR(__xludf.DUMMYFUNCTION("""COMPUTED_VALUE"""),0.00371435185185185)</f>
        <v>3.7143518518518502E-3</v>
      </c>
      <c r="F294" s="1"/>
    </row>
    <row r="295" spans="1:6" x14ac:dyDescent="0.2">
      <c r="A295" s="3" t="str">
        <f ca="1">IFERROR(__xludf.DUMMYFUNCTION("""COMPUTED_VALUE"""),"U12 Girls 4 x 75m Relay")</f>
        <v>U12 Girls 4 x 75m Relay</v>
      </c>
      <c r="B295" s="3"/>
      <c r="C295" s="3"/>
      <c r="D295" s="3"/>
      <c r="E295" s="3"/>
      <c r="F295" s="1"/>
    </row>
    <row r="296" spans="1:6" x14ac:dyDescent="0.2">
      <c r="A296" s="1" t="str">
        <f ca="1">IFERROR(__xludf.DUMMYFUNCTION("""COMPUTED_VALUE"""),"HUM")</f>
        <v>HUM</v>
      </c>
      <c r="B296" s="1" t="str">
        <f ca="1">IFERROR(__xludf.DUMMYFUNCTION("""COMPUTED_VALUE"""),"Lily Block,Sydnei Lei Burke")</f>
        <v>Lily Block,Sydnei Lei Burke</v>
      </c>
      <c r="C296" s="1" t="str">
        <f ca="1">IFERROR(__xludf.DUMMYFUNCTION("""COMPUTED_VALUE"""),"Everly Walden,Eevie Barnard")</f>
        <v>Everly Walden,Eevie Barnard</v>
      </c>
      <c r="D296" s="1" t="str">
        <f ca="1">IFERROR(__xludf.DUMMYFUNCTION("""COMPUTED_VALUE"""),"")</f>
        <v/>
      </c>
      <c r="E296" s="4">
        <f ca="1">IFERROR(__xludf.DUMMYFUNCTION("""COMPUTED_VALUE"""),44.37)</f>
        <v>44.37</v>
      </c>
      <c r="F296" s="1"/>
    </row>
    <row r="297" spans="1:6" x14ac:dyDescent="0.2">
      <c r="A297" s="1" t="str">
        <f ca="1">IFERROR(__xludf.DUMMYFUNCTION("""COMPUTED_VALUE"""),"NOT")</f>
        <v>NOT</v>
      </c>
      <c r="B297" s="1" t="str">
        <f ca="1">IFERROR(__xludf.DUMMYFUNCTION("""COMPUTED_VALUE"""),"Esme Bacon,Everly Chijioke")</f>
        <v>Esme Bacon,Everly Chijioke</v>
      </c>
      <c r="C297" s="1" t="str">
        <f ca="1">IFERROR(__xludf.DUMMYFUNCTION("""COMPUTED_VALUE"""),"Harriet Knowles,Willow Wright")</f>
        <v>Harriet Knowles,Willow Wright</v>
      </c>
      <c r="D297" s="1" t="str">
        <f ca="1">IFERROR(__xludf.DUMMYFUNCTION("""COMPUTED_VALUE"""),"")</f>
        <v/>
      </c>
      <c r="E297" s="4">
        <f ca="1">IFERROR(__xludf.DUMMYFUNCTION("""COMPUTED_VALUE"""),45.26)</f>
        <v>45.26</v>
      </c>
      <c r="F297" s="1"/>
    </row>
    <row r="298" spans="1:6" x14ac:dyDescent="0.2">
      <c r="A298" s="1" t="str">
        <f ca="1">IFERROR(__xludf.DUMMYFUNCTION("""COMPUTED_VALUE"""),"LIN")</f>
        <v>LIN</v>
      </c>
      <c r="B298" s="1" t="str">
        <f ca="1">IFERROR(__xludf.DUMMYFUNCTION("""COMPUTED_VALUE"""),"Connie Waterson,Erica Wollgar")</f>
        <v>Connie Waterson,Erica Wollgar</v>
      </c>
      <c r="C298" s="1" t="str">
        <f ca="1">IFERROR(__xludf.DUMMYFUNCTION("""COMPUTED_VALUE"""),"Rose Freeman,Darcey Windle")</f>
        <v>Rose Freeman,Darcey Windle</v>
      </c>
      <c r="D298" s="1" t="str">
        <f ca="1">IFERROR(__xludf.DUMMYFUNCTION("""COMPUTED_VALUE"""),"")</f>
        <v/>
      </c>
      <c r="E298" s="4">
        <f ca="1">IFERROR(__xludf.DUMMYFUNCTION("""COMPUTED_VALUE"""),45.79)</f>
        <v>45.79</v>
      </c>
      <c r="F298" s="1"/>
    </row>
    <row r="299" spans="1:6" x14ac:dyDescent="0.2">
      <c r="A299" s="1" t="str">
        <f ca="1">IFERROR(__xludf.DUMMYFUNCTION("""COMPUTED_VALUE"""),"DER")</f>
        <v>DER</v>
      </c>
      <c r="B299" s="1" t="str">
        <f ca="1">IFERROR(__xludf.DUMMYFUNCTION("""COMPUTED_VALUE"""),"Eva Price,April Malone")</f>
        <v>Eva Price,April Malone</v>
      </c>
      <c r="C299" s="1" t="str">
        <f ca="1">IFERROR(__xludf.DUMMYFUNCTION("""COMPUTED_VALUE"""),"Gracie Brien,Evelyn Perryman")</f>
        <v>Gracie Brien,Evelyn Perryman</v>
      </c>
      <c r="D299" s="1" t="str">
        <f ca="1">IFERROR(__xludf.DUMMYFUNCTION("""COMPUTED_VALUE"""),"")</f>
        <v/>
      </c>
      <c r="E299" s="4">
        <f ca="1">IFERROR(__xludf.DUMMYFUNCTION("""COMPUTED_VALUE"""),46.42)</f>
        <v>46.42</v>
      </c>
      <c r="F299" s="1"/>
    </row>
    <row r="300" spans="1:6" x14ac:dyDescent="0.2">
      <c r="A300" s="1" t="str">
        <f ca="1">IFERROR(__xludf.DUMMYFUNCTION("""COMPUTED_VALUE"""),"SOU")</f>
        <v>SOU</v>
      </c>
      <c r="B300" s="1" t="str">
        <f ca="1">IFERROR(__xludf.DUMMYFUNCTION("""COMPUTED_VALUE"""),"Emily Coote,Sophia Jones Wainwright")</f>
        <v>Emily Coote,Sophia Jones Wainwright</v>
      </c>
      <c r="C300" s="1" t="str">
        <f ca="1">IFERROR(__xludf.DUMMYFUNCTION("""COMPUTED_VALUE"""),"Destiny Chikamso Nwagwu,Verity Marshall")</f>
        <v>Destiny Chikamso Nwagwu,Verity Marshall</v>
      </c>
      <c r="D300" s="1" t="str">
        <f ca="1">IFERROR(__xludf.DUMMYFUNCTION("""COMPUTED_VALUE"""),"")</f>
        <v/>
      </c>
      <c r="E300" s="4">
        <f ca="1">IFERROR(__xludf.DUMMYFUNCTION("""COMPUTED_VALUE"""),48.89)</f>
        <v>48.89</v>
      </c>
      <c r="F300" s="1"/>
    </row>
    <row r="301" spans="1:6" x14ac:dyDescent="0.2">
      <c r="A301" s="3" t="str">
        <f ca="1">IFERROR(__xludf.DUMMYFUNCTION("""COMPUTED_VALUE"""),"U12 Boys 4 x 75m Relay")</f>
        <v>U12 Boys 4 x 75m Relay</v>
      </c>
      <c r="B301" s="3"/>
      <c r="C301" s="3"/>
      <c r="D301" s="3"/>
      <c r="E301" s="3"/>
      <c r="F301" s="1"/>
    </row>
    <row r="302" spans="1:6" x14ac:dyDescent="0.2">
      <c r="A302" s="1" t="str">
        <f ca="1">IFERROR(__xludf.DUMMYFUNCTION("""COMPUTED_VALUE"""),"NOT")</f>
        <v>NOT</v>
      </c>
      <c r="B302" s="1" t="str">
        <f ca="1">IFERROR(__xludf.DUMMYFUNCTION("""COMPUTED_VALUE"""),"Khali-Drew Lewin,Jamie Farnsworth")</f>
        <v>Khali-Drew Lewin,Jamie Farnsworth</v>
      </c>
      <c r="C302" s="1" t="str">
        <f ca="1">IFERROR(__xludf.DUMMYFUNCTION("""COMPUTED_VALUE"""),"Roman Marks,Dylan O'Brien")</f>
        <v>Roman Marks,Dylan O'Brien</v>
      </c>
      <c r="D302" s="1" t="str">
        <f ca="1">IFERROR(__xludf.DUMMYFUNCTION("""COMPUTED_VALUE"""),"")</f>
        <v/>
      </c>
      <c r="E302" s="4">
        <f ca="1">IFERROR(__xludf.DUMMYFUNCTION("""COMPUTED_VALUE"""),43.56)</f>
        <v>43.56</v>
      </c>
      <c r="F302" s="1"/>
    </row>
    <row r="303" spans="1:6" x14ac:dyDescent="0.2">
      <c r="A303" s="1" t="str">
        <f ca="1">IFERROR(__xludf.DUMMYFUNCTION("""COMPUTED_VALUE"""),"DER")</f>
        <v>DER</v>
      </c>
      <c r="B303" s="1" t="str">
        <f ca="1">IFERROR(__xludf.DUMMYFUNCTION("""COMPUTED_VALUE"""),"Frankie Osborne,Michael Amadi")</f>
        <v>Frankie Osborne,Michael Amadi</v>
      </c>
      <c r="C303" s="1" t="str">
        <f ca="1">IFERROR(__xludf.DUMMYFUNCTION("""COMPUTED_VALUE"""),"Joseph Brackenbury,Elias Jones")</f>
        <v>Joseph Brackenbury,Elias Jones</v>
      </c>
      <c r="D303" s="1" t="str">
        <f ca="1">IFERROR(__xludf.DUMMYFUNCTION("""COMPUTED_VALUE"""),"")</f>
        <v/>
      </c>
      <c r="E303" s="4">
        <f ca="1">IFERROR(__xludf.DUMMYFUNCTION("""COMPUTED_VALUE"""),43.79)</f>
        <v>43.79</v>
      </c>
      <c r="F303" s="1"/>
    </row>
    <row r="304" spans="1:6" x14ac:dyDescent="0.2">
      <c r="A304" s="1" t="str">
        <f ca="1">IFERROR(__xludf.DUMMYFUNCTION("""COMPUTED_VALUE"""),"HUM")</f>
        <v>HUM</v>
      </c>
      <c r="B304" s="1" t="str">
        <f ca="1">IFERROR(__xludf.DUMMYFUNCTION("""COMPUTED_VALUE"""),"Harry Durrant,Arthur Webb")</f>
        <v>Harry Durrant,Arthur Webb</v>
      </c>
      <c r="C304" s="1" t="str">
        <f ca="1">IFERROR(__xludf.DUMMYFUNCTION("""COMPUTED_VALUE"""),"Joshua McClane,Jack Wood")</f>
        <v>Joshua McClane,Jack Wood</v>
      </c>
      <c r="D304" s="1" t="str">
        <f ca="1">IFERROR(__xludf.DUMMYFUNCTION("""COMPUTED_VALUE"""),"")</f>
        <v/>
      </c>
      <c r="E304" s="4">
        <f ca="1">IFERROR(__xludf.DUMMYFUNCTION("""COMPUTED_VALUE"""),44.73)</f>
        <v>44.73</v>
      </c>
      <c r="F304" s="1"/>
    </row>
    <row r="305" spans="1:6" x14ac:dyDescent="0.2">
      <c r="A305" s="1" t="str">
        <f ca="1">IFERROR(__xludf.DUMMYFUNCTION("""COMPUTED_VALUE"""),"SOU")</f>
        <v>SOU</v>
      </c>
      <c r="B305" s="1" t="str">
        <f ca="1">IFERROR(__xludf.DUMMYFUNCTION("""COMPUTED_VALUE"""),"Colin Appiah,Charlie Sinclair")</f>
        <v>Colin Appiah,Charlie Sinclair</v>
      </c>
      <c r="C305" s="1" t="str">
        <f ca="1">IFERROR(__xludf.DUMMYFUNCTION("""COMPUTED_VALUE"""),"Preston Liversidge,Felix Bancroft")</f>
        <v>Preston Liversidge,Felix Bancroft</v>
      </c>
      <c r="D305" s="1" t="str">
        <f ca="1">IFERROR(__xludf.DUMMYFUNCTION("""COMPUTED_VALUE"""),"")</f>
        <v/>
      </c>
      <c r="E305" s="4">
        <f ca="1">IFERROR(__xludf.DUMMYFUNCTION("""COMPUTED_VALUE"""),45.39)</f>
        <v>45.39</v>
      </c>
      <c r="F305" s="1"/>
    </row>
    <row r="306" spans="1:6" x14ac:dyDescent="0.2">
      <c r="A306" s="1" t="str">
        <f ca="1">IFERROR(__xludf.DUMMYFUNCTION("""COMPUTED_VALUE"""),"LIN")</f>
        <v>LIN</v>
      </c>
      <c r="B306" s="1" t="str">
        <f ca="1">IFERROR(__xludf.DUMMYFUNCTION("""COMPUTED_VALUE"""),"Teige Philipson,Abel Acande")</f>
        <v>Teige Philipson,Abel Acande</v>
      </c>
      <c r="C306" s="1" t="str">
        <f ca="1">IFERROR(__xludf.DUMMYFUNCTION("""COMPUTED_VALUE"""),"Jacob Skelland,Francesco Mussi")</f>
        <v>Jacob Skelland,Francesco Mussi</v>
      </c>
      <c r="D306" s="1" t="str">
        <f ca="1">IFERROR(__xludf.DUMMYFUNCTION("""COMPUTED_VALUE"""),"")</f>
        <v/>
      </c>
      <c r="E306" s="4">
        <f ca="1">IFERROR(__xludf.DUMMYFUNCTION("""COMPUTED_VALUE"""),45.49)</f>
        <v>45.49</v>
      </c>
      <c r="F306" s="1"/>
    </row>
    <row r="307" spans="1:6" x14ac:dyDescent="0.2">
      <c r="A307" s="3" t="str">
        <f ca="1">IFERROR(__xludf.DUMMYFUNCTION("""COMPUTED_VALUE"""),"U14 Girls 4 x 100m Relay")</f>
        <v>U14 Girls 4 x 100m Relay</v>
      </c>
      <c r="B307" s="3"/>
      <c r="C307" s="3"/>
      <c r="D307" s="3"/>
      <c r="E307" s="3"/>
      <c r="F307" s="1"/>
    </row>
    <row r="308" spans="1:6" x14ac:dyDescent="0.2">
      <c r="A308" s="1" t="str">
        <f ca="1">IFERROR(__xludf.DUMMYFUNCTION("""COMPUTED_VALUE"""),"NOT")</f>
        <v>NOT</v>
      </c>
      <c r="B308" s="1" t="str">
        <f ca="1">IFERROR(__xludf.DUMMYFUNCTION("""COMPUTED_VALUE"""),"Amiyah Cooper,Nancy Knowles")</f>
        <v>Amiyah Cooper,Nancy Knowles</v>
      </c>
      <c r="C308" s="1" t="str">
        <f ca="1">IFERROR(__xludf.DUMMYFUNCTION("""COMPUTED_VALUE"""),"Bonnie Bradley,Natasha Milburn")</f>
        <v>Bonnie Bradley,Natasha Milburn</v>
      </c>
      <c r="D308" s="1" t="str">
        <f ca="1">IFERROR(__xludf.DUMMYFUNCTION("""COMPUTED_VALUE"""),"")</f>
        <v/>
      </c>
      <c r="E308" s="4">
        <f ca="1">IFERROR(__xludf.DUMMYFUNCTION("""COMPUTED_VALUE"""),52.7)</f>
        <v>52.7</v>
      </c>
      <c r="F308" s="1"/>
    </row>
    <row r="309" spans="1:6" x14ac:dyDescent="0.2">
      <c r="A309" s="1" t="str">
        <f ca="1">IFERROR(__xludf.DUMMYFUNCTION("""COMPUTED_VALUE"""),"HUM")</f>
        <v>HUM</v>
      </c>
      <c r="B309" s="1" t="str">
        <f ca="1">IFERROR(__xludf.DUMMYFUNCTION("""COMPUTED_VALUE"""),"Mila Telford,Annabelle Thompson")</f>
        <v>Mila Telford,Annabelle Thompson</v>
      </c>
      <c r="C309" s="1" t="str">
        <f ca="1">IFERROR(__xludf.DUMMYFUNCTION("""COMPUTED_VALUE"""),"Amelie Cole,Kendra Antwi-Bosiako")</f>
        <v>Amelie Cole,Kendra Antwi-Bosiako</v>
      </c>
      <c r="D309" s="1" t="str">
        <f ca="1">IFERROR(__xludf.DUMMYFUNCTION("""COMPUTED_VALUE"""),"")</f>
        <v/>
      </c>
      <c r="E309" s="4">
        <f ca="1">IFERROR(__xludf.DUMMYFUNCTION("""COMPUTED_VALUE"""),53.3)</f>
        <v>53.3</v>
      </c>
      <c r="F309" s="1"/>
    </row>
    <row r="310" spans="1:6" x14ac:dyDescent="0.2">
      <c r="A310" s="1" t="str">
        <f ca="1">IFERROR(__xludf.DUMMYFUNCTION("""COMPUTED_VALUE"""),"DER")</f>
        <v>DER</v>
      </c>
      <c r="B310" s="1" t="str">
        <f ca="1">IFERROR(__xludf.DUMMYFUNCTION("""COMPUTED_VALUE"""),"Jessica Sanderson,Mercy Adeosun")</f>
        <v>Jessica Sanderson,Mercy Adeosun</v>
      </c>
      <c r="C310" s="1" t="str">
        <f ca="1">IFERROR(__xludf.DUMMYFUNCTION("""COMPUTED_VALUE"""),"Martha Smith,Annabelle Sturt")</f>
        <v>Martha Smith,Annabelle Sturt</v>
      </c>
      <c r="D310" s="1" t="str">
        <f ca="1">IFERROR(__xludf.DUMMYFUNCTION("""COMPUTED_VALUE"""),"")</f>
        <v/>
      </c>
      <c r="E310" s="4">
        <f ca="1">IFERROR(__xludf.DUMMYFUNCTION("""COMPUTED_VALUE"""),54.62)</f>
        <v>54.62</v>
      </c>
      <c r="F310" s="1"/>
    </row>
    <row r="311" spans="1:6" x14ac:dyDescent="0.2">
      <c r="A311" s="1" t="str">
        <f ca="1">IFERROR(__xludf.DUMMYFUNCTION("""COMPUTED_VALUE"""),"LIN")</f>
        <v>LIN</v>
      </c>
      <c r="B311" s="1" t="str">
        <f ca="1">IFERROR(__xludf.DUMMYFUNCTION("""COMPUTED_VALUE"""),"Isabel Akande,Georgia Marriott")</f>
        <v>Isabel Akande,Georgia Marriott</v>
      </c>
      <c r="C311" s="1" t="str">
        <f ca="1">IFERROR(__xludf.DUMMYFUNCTION("""COMPUTED_VALUE"""),"Rose Pell,Faith Awosanya")</f>
        <v>Rose Pell,Faith Awosanya</v>
      </c>
      <c r="D311" s="1" t="str">
        <f ca="1">IFERROR(__xludf.DUMMYFUNCTION("""COMPUTED_VALUE"""),"")</f>
        <v/>
      </c>
      <c r="E311" s="4">
        <f ca="1">IFERROR(__xludf.DUMMYFUNCTION("""COMPUTED_VALUE"""),56.19)</f>
        <v>56.19</v>
      </c>
      <c r="F311" s="1"/>
    </row>
    <row r="312" spans="1:6" x14ac:dyDescent="0.2">
      <c r="A312" s="1" t="str">
        <f ca="1">IFERROR(__xludf.DUMMYFUNCTION("""COMPUTED_VALUE"""),"SOU")</f>
        <v>SOU</v>
      </c>
      <c r="B312" s="1" t="str">
        <f ca="1">IFERROR(__xludf.DUMMYFUNCTION("""COMPUTED_VALUE"""),"Cheryl Nwachukwu,Mia Pettican")</f>
        <v>Cheryl Nwachukwu,Mia Pettican</v>
      </c>
      <c r="C312" s="1" t="str">
        <f ca="1">IFERROR(__xludf.DUMMYFUNCTION("""COMPUTED_VALUE"""),"Essie McGarrigle,Neriah Beckford")</f>
        <v>Essie McGarrigle,Neriah Beckford</v>
      </c>
      <c r="D312" s="1" t="str">
        <f ca="1">IFERROR(__xludf.DUMMYFUNCTION("""COMPUTED_VALUE"""),"")</f>
        <v/>
      </c>
      <c r="E312" s="4">
        <f ca="1">IFERROR(__xludf.DUMMYFUNCTION("""COMPUTED_VALUE"""),58.18)</f>
        <v>58.18</v>
      </c>
      <c r="F312" s="1"/>
    </row>
    <row r="313" spans="1:6" x14ac:dyDescent="0.2">
      <c r="A313" s="3" t="str">
        <f ca="1">IFERROR(__xludf.DUMMYFUNCTION("""COMPUTED_VALUE"""),"U14 Boys 4 x 100m Relay")</f>
        <v>U14 Boys 4 x 100m Relay</v>
      </c>
      <c r="B313" s="3"/>
      <c r="C313" s="3"/>
      <c r="D313" s="3"/>
      <c r="E313" s="3"/>
      <c r="F313" s="1"/>
    </row>
    <row r="314" spans="1:6" x14ac:dyDescent="0.2">
      <c r="A314" s="1" t="str">
        <f ca="1">IFERROR(__xludf.DUMMYFUNCTION("""COMPUTED_VALUE"""),"HUM")</f>
        <v>HUM</v>
      </c>
      <c r="B314" s="1" t="str">
        <f ca="1">IFERROR(__xludf.DUMMYFUNCTION("""COMPUTED_VALUE"""),"Emmanuel Mendez,Jake Newell")</f>
        <v>Emmanuel Mendez,Jake Newell</v>
      </c>
      <c r="C314" s="1" t="str">
        <f ca="1">IFERROR(__xludf.DUMMYFUNCTION("""COMPUTED_VALUE"""),"Joshua Mendez,William Pearson")</f>
        <v>Joshua Mendez,William Pearson</v>
      </c>
      <c r="D314" s="1" t="str">
        <f ca="1">IFERROR(__xludf.DUMMYFUNCTION("""COMPUTED_VALUE"""),"")</f>
        <v/>
      </c>
      <c r="E314" s="4">
        <f ca="1">IFERROR(__xludf.DUMMYFUNCTION("""COMPUTED_VALUE"""),49.15)</f>
        <v>49.15</v>
      </c>
      <c r="F314" s="1"/>
    </row>
    <row r="315" spans="1:6" x14ac:dyDescent="0.2">
      <c r="A315" s="1" t="str">
        <f ca="1">IFERROR(__xludf.DUMMYFUNCTION("""COMPUTED_VALUE"""),"NOT")</f>
        <v>NOT</v>
      </c>
      <c r="B315" s="1" t="str">
        <f ca="1">IFERROR(__xludf.DUMMYFUNCTION("""COMPUTED_VALUE"""),"Isaac Beresford,Ethan Baxter")</f>
        <v>Isaac Beresford,Ethan Baxter</v>
      </c>
      <c r="C315" s="1" t="str">
        <f ca="1">IFERROR(__xludf.DUMMYFUNCTION("""COMPUTED_VALUE"""),"Stephen Amaechi,Elliot Junor")</f>
        <v>Stephen Amaechi,Elliot Junor</v>
      </c>
      <c r="D315" s="1" t="str">
        <f ca="1">IFERROR(__xludf.DUMMYFUNCTION("""COMPUTED_VALUE"""),"")</f>
        <v/>
      </c>
      <c r="E315" s="4">
        <f ca="1">IFERROR(__xludf.DUMMYFUNCTION("""COMPUTED_VALUE"""),51.18)</f>
        <v>51.18</v>
      </c>
      <c r="F315" s="1"/>
    </row>
    <row r="316" spans="1:6" x14ac:dyDescent="0.2">
      <c r="A316" s="1" t="str">
        <f ca="1">IFERROR(__xludf.DUMMYFUNCTION("""COMPUTED_VALUE"""),"SOU")</f>
        <v>SOU</v>
      </c>
      <c r="B316" s="1" t="str">
        <f ca="1">IFERROR(__xludf.DUMMYFUNCTION("""COMPUTED_VALUE"""),"Daniel Anderson,Max Cook")</f>
        <v>Daniel Anderson,Max Cook</v>
      </c>
      <c r="C316" s="1" t="str">
        <f ca="1">IFERROR(__xludf.DUMMYFUNCTION("""COMPUTED_VALUE"""),"Harry Tomlinson,Aron Hattersley")</f>
        <v>Harry Tomlinson,Aron Hattersley</v>
      </c>
      <c r="D316" s="1" t="str">
        <f ca="1">IFERROR(__xludf.DUMMYFUNCTION("""COMPUTED_VALUE"""),"")</f>
        <v/>
      </c>
      <c r="E316" s="4">
        <f ca="1">IFERROR(__xludf.DUMMYFUNCTION("""COMPUTED_VALUE"""),52.36)</f>
        <v>52.36</v>
      </c>
      <c r="F316" s="1"/>
    </row>
    <row r="317" spans="1:6" x14ac:dyDescent="0.2">
      <c r="A317" s="1" t="str">
        <f ca="1">IFERROR(__xludf.DUMMYFUNCTION("""COMPUTED_VALUE"""),"DER")</f>
        <v>DER</v>
      </c>
      <c r="B317" s="1" t="str">
        <f ca="1">IFERROR(__xludf.DUMMYFUNCTION("""COMPUTED_VALUE"""),"Tobi Duke,Owen Watson")</f>
        <v>Tobi Duke,Owen Watson</v>
      </c>
      <c r="C317" s="1" t="str">
        <f ca="1">IFERROR(__xludf.DUMMYFUNCTION("""COMPUTED_VALUE"""),"Owen Rawlinson,Benjamin Barfoot")</f>
        <v>Owen Rawlinson,Benjamin Barfoot</v>
      </c>
      <c r="D317" s="1" t="str">
        <f ca="1">IFERROR(__xludf.DUMMYFUNCTION("""COMPUTED_VALUE"""),"")</f>
        <v/>
      </c>
      <c r="E317" s="4">
        <f ca="1">IFERROR(__xludf.DUMMYFUNCTION("""COMPUTED_VALUE"""),53.17)</f>
        <v>53.17</v>
      </c>
      <c r="F317" s="1"/>
    </row>
    <row r="318" spans="1:6" x14ac:dyDescent="0.2">
      <c r="A318" s="1" t="str">
        <f ca="1">IFERROR(__xludf.DUMMYFUNCTION("""COMPUTED_VALUE"""),"LIN")</f>
        <v>LIN</v>
      </c>
      <c r="B318" s="1" t="str">
        <f ca="1">IFERROR(__xludf.DUMMYFUNCTION("""COMPUTED_VALUE"""),"Ryan Young,Max Norburn")</f>
        <v>Ryan Young,Max Norburn</v>
      </c>
      <c r="C318" s="1" t="str">
        <f ca="1">IFERROR(__xludf.DUMMYFUNCTION("""COMPUTED_VALUE"""),"Max Hoyles,Leo King")</f>
        <v>Max Hoyles,Leo King</v>
      </c>
      <c r="D318" s="1" t="str">
        <f ca="1">IFERROR(__xludf.DUMMYFUNCTION("""COMPUTED_VALUE"""),"")</f>
        <v/>
      </c>
      <c r="E318" s="4">
        <f ca="1">IFERROR(__xludf.DUMMYFUNCTION("""COMPUTED_VALUE"""),53.39)</f>
        <v>53.39</v>
      </c>
      <c r="F318" s="1"/>
    </row>
    <row r="319" spans="1:6" x14ac:dyDescent="0.2">
      <c r="A319" s="3" t="str">
        <f ca="1">IFERROR(__xludf.DUMMYFUNCTION("""COMPUTED_VALUE"""),"U16 Girls 4 x 100m Relay")</f>
        <v>U16 Girls 4 x 100m Relay</v>
      </c>
      <c r="B319" s="3"/>
      <c r="C319" s="3"/>
      <c r="D319" s="3"/>
      <c r="E319" s="3"/>
      <c r="F319" s="1"/>
    </row>
    <row r="320" spans="1:6" x14ac:dyDescent="0.2">
      <c r="A320" s="1" t="str">
        <f ca="1">IFERROR(__xludf.DUMMYFUNCTION("""COMPUTED_VALUE"""),"DER")</f>
        <v>DER</v>
      </c>
      <c r="B320" s="1" t="str">
        <f ca="1">IFERROR(__xludf.DUMMYFUNCTION("""COMPUTED_VALUE"""),"Bella Egley,Antoniah Kinsiona")</f>
        <v>Bella Egley,Antoniah Kinsiona</v>
      </c>
      <c r="C320" s="1" t="str">
        <f ca="1">IFERROR(__xludf.DUMMYFUNCTION("""COMPUTED_VALUE"""),"Lottie Mole,Jasmine Upton")</f>
        <v>Lottie Mole,Jasmine Upton</v>
      </c>
      <c r="D320" s="1" t="str">
        <f ca="1">IFERROR(__xludf.DUMMYFUNCTION("""COMPUTED_VALUE"""),"")</f>
        <v/>
      </c>
      <c r="E320" s="4">
        <f ca="1">IFERROR(__xludf.DUMMYFUNCTION("""COMPUTED_VALUE"""),50.66)</f>
        <v>50.66</v>
      </c>
      <c r="F320" s="1"/>
    </row>
    <row r="321" spans="1:6" x14ac:dyDescent="0.2">
      <c r="A321" s="1" t="str">
        <f ca="1">IFERROR(__xludf.DUMMYFUNCTION("""COMPUTED_VALUE"""),"SOU")</f>
        <v>SOU</v>
      </c>
      <c r="B321" s="1" t="str">
        <f ca="1">IFERROR(__xludf.DUMMYFUNCTION("""COMPUTED_VALUE"""),"Eagle Josephant,Sophie Torossian")</f>
        <v>Eagle Josephant,Sophie Torossian</v>
      </c>
      <c r="C321" s="1" t="str">
        <f ca="1">IFERROR(__xludf.DUMMYFUNCTION("""COMPUTED_VALUE"""),"Neve Connelly,April Richardson")</f>
        <v>Neve Connelly,April Richardson</v>
      </c>
      <c r="D321" s="1" t="str">
        <f ca="1">IFERROR(__xludf.DUMMYFUNCTION("""COMPUTED_VALUE"""),"")</f>
        <v/>
      </c>
      <c r="E321" s="4">
        <f ca="1">IFERROR(__xludf.DUMMYFUNCTION("""COMPUTED_VALUE"""),50.86)</f>
        <v>50.86</v>
      </c>
      <c r="F321" s="1"/>
    </row>
    <row r="322" spans="1:6" x14ac:dyDescent="0.2">
      <c r="A322" s="1" t="str">
        <f ca="1">IFERROR(__xludf.DUMMYFUNCTION("""COMPUTED_VALUE"""),"HUM")</f>
        <v>HUM</v>
      </c>
      <c r="B322" s="1" t="str">
        <f ca="1">IFERROR(__xludf.DUMMYFUNCTION("""COMPUTED_VALUE"""),"Daisy Rose Agostinho,Lily Cowling-Gaffney")</f>
        <v>Daisy Rose Agostinho,Lily Cowling-Gaffney</v>
      </c>
      <c r="C322" s="1" t="str">
        <f ca="1">IFERROR(__xludf.DUMMYFUNCTION("""COMPUTED_VALUE"""),"Lily Hainsworth,Scarlett Shann")</f>
        <v>Lily Hainsworth,Scarlett Shann</v>
      </c>
      <c r="D322" s="1" t="str">
        <f ca="1">IFERROR(__xludf.DUMMYFUNCTION("""COMPUTED_VALUE"""),"")</f>
        <v/>
      </c>
      <c r="E322" s="4">
        <f ca="1">IFERROR(__xludf.DUMMYFUNCTION("""COMPUTED_VALUE"""),51.15)</f>
        <v>51.15</v>
      </c>
      <c r="F322" s="1"/>
    </row>
    <row r="323" spans="1:6" x14ac:dyDescent="0.2">
      <c r="A323" s="1" t="str">
        <f ca="1">IFERROR(__xludf.DUMMYFUNCTION("""COMPUTED_VALUE"""),"NOT")</f>
        <v>NOT</v>
      </c>
      <c r="B323" s="1" t="str">
        <f ca="1">IFERROR(__xludf.DUMMYFUNCTION("""COMPUTED_VALUE"""),"Edee Gascoyne,Abigail Sheppard-Howe")</f>
        <v>Edee Gascoyne,Abigail Sheppard-Howe</v>
      </c>
      <c r="C323" s="1" t="str">
        <f ca="1">IFERROR(__xludf.DUMMYFUNCTION("""COMPUTED_VALUE"""),"Sophie Peet,Charlotte Marshall")</f>
        <v>Sophie Peet,Charlotte Marshall</v>
      </c>
      <c r="D323" s="1" t="str">
        <f ca="1">IFERROR(__xludf.DUMMYFUNCTION("""COMPUTED_VALUE"""),"")</f>
        <v/>
      </c>
      <c r="E323" s="4">
        <f ca="1">IFERROR(__xludf.DUMMYFUNCTION("""COMPUTED_VALUE"""),53.23)</f>
        <v>53.23</v>
      </c>
      <c r="F323" s="1"/>
    </row>
    <row r="324" spans="1:6" x14ac:dyDescent="0.2">
      <c r="A324" s="1" t="str">
        <f ca="1">IFERROR(__xludf.DUMMYFUNCTION("""COMPUTED_VALUE"""),"LIN")</f>
        <v>LIN</v>
      </c>
      <c r="B324" s="1" t="str">
        <f ca="1">IFERROR(__xludf.DUMMYFUNCTION("""COMPUTED_VALUE"""),"Connie Rashley,Scarlett Edlin")</f>
        <v>Connie Rashley,Scarlett Edlin</v>
      </c>
      <c r="C324" s="1" t="str">
        <f ca="1">IFERROR(__xludf.DUMMYFUNCTION("""COMPUTED_VALUE"""),"Darcey Wood,Imogen Burgess")</f>
        <v>Darcey Wood,Imogen Burgess</v>
      </c>
      <c r="D324" s="1" t="str">
        <f ca="1">IFERROR(__xludf.DUMMYFUNCTION("""COMPUTED_VALUE"""),"")</f>
        <v/>
      </c>
      <c r="E324" s="4">
        <f ca="1">IFERROR(__xludf.DUMMYFUNCTION("""COMPUTED_VALUE"""),56.58)</f>
        <v>56.58</v>
      </c>
      <c r="F324" s="1"/>
    </row>
    <row r="325" spans="1:6" x14ac:dyDescent="0.2">
      <c r="A325" s="3" t="str">
        <f ca="1">IFERROR(__xludf.DUMMYFUNCTION("""COMPUTED_VALUE"""),"U16 Boys 4 x 100m Relay")</f>
        <v>U16 Boys 4 x 100m Relay</v>
      </c>
      <c r="B325" s="3"/>
      <c r="C325" s="3"/>
      <c r="D325" s="3"/>
      <c r="E325" s="3"/>
      <c r="F325" s="1"/>
    </row>
    <row r="326" spans="1:6" x14ac:dyDescent="0.2">
      <c r="A326" s="1" t="str">
        <f ca="1">IFERROR(__xludf.DUMMYFUNCTION("""COMPUTED_VALUE"""),"SOU")</f>
        <v>SOU</v>
      </c>
      <c r="B326" s="1" t="str">
        <f ca="1">IFERROR(__xludf.DUMMYFUNCTION("""COMPUTED_VALUE"""),"Ryan Hatcher,Edward Rose")</f>
        <v>Ryan Hatcher,Edward Rose</v>
      </c>
      <c r="C326" s="1" t="str">
        <f ca="1">IFERROR(__xludf.DUMMYFUNCTION("""COMPUTED_VALUE"""),"Thomas Clark,Jacob Ellis Baulk")</f>
        <v>Thomas Clark,Jacob Ellis Baulk</v>
      </c>
      <c r="D326" s="1" t="str">
        <f ca="1">IFERROR(__xludf.DUMMYFUNCTION("""COMPUTED_VALUE"""),"")</f>
        <v/>
      </c>
      <c r="E326" s="4">
        <f ca="1">IFERROR(__xludf.DUMMYFUNCTION("""COMPUTED_VALUE"""),47.55)</f>
        <v>47.55</v>
      </c>
      <c r="F326" s="1"/>
    </row>
    <row r="327" spans="1:6" x14ac:dyDescent="0.2">
      <c r="A327" s="1" t="str">
        <f ca="1">IFERROR(__xludf.DUMMYFUNCTION("""COMPUTED_VALUE"""),"HUM")</f>
        <v>HUM</v>
      </c>
      <c r="B327" s="1" t="str">
        <f ca="1">IFERROR(__xludf.DUMMYFUNCTION("""COMPUTED_VALUE"""),"Oliver Hussain,Tristan Koyuncu")</f>
        <v>Oliver Hussain,Tristan Koyuncu</v>
      </c>
      <c r="C327" s="1" t="str">
        <f ca="1">IFERROR(__xludf.DUMMYFUNCTION("""COMPUTED_VALUE"""),"Harry Sargent,Ethan Borrill-Townsend")</f>
        <v>Harry Sargent,Ethan Borrill-Townsend</v>
      </c>
      <c r="D327" s="1" t="str">
        <f ca="1">IFERROR(__xludf.DUMMYFUNCTION("""COMPUTED_VALUE"""),"")</f>
        <v/>
      </c>
      <c r="E327" s="4">
        <f ca="1">IFERROR(__xludf.DUMMYFUNCTION("""COMPUTED_VALUE"""),48.34)</f>
        <v>48.34</v>
      </c>
      <c r="F327" s="1"/>
    </row>
    <row r="328" spans="1:6" x14ac:dyDescent="0.2">
      <c r="A328" s="1" t="str">
        <f ca="1">IFERROR(__xludf.DUMMYFUNCTION("""COMPUTED_VALUE"""),"LIN")</f>
        <v>LIN</v>
      </c>
      <c r="B328" s="1" t="str">
        <f ca="1">IFERROR(__xludf.DUMMYFUNCTION("""COMPUTED_VALUE"""),"Finlay Smith,Jack Davey")</f>
        <v>Finlay Smith,Jack Davey</v>
      </c>
      <c r="C328" s="1" t="str">
        <f ca="1">IFERROR(__xludf.DUMMYFUNCTION("""COMPUTED_VALUE"""),"Damian McNally,Kyan Savage")</f>
        <v>Damian McNally,Kyan Savage</v>
      </c>
      <c r="D328" s="1" t="str">
        <f ca="1">IFERROR(__xludf.DUMMYFUNCTION("""COMPUTED_VALUE"""),"")</f>
        <v/>
      </c>
      <c r="E328" s="4">
        <f ca="1">IFERROR(__xludf.DUMMYFUNCTION("""COMPUTED_VALUE"""),48.47)</f>
        <v>48.47</v>
      </c>
      <c r="F328" s="1"/>
    </row>
    <row r="329" spans="1:6" x14ac:dyDescent="0.2">
      <c r="A329" s="1" t="str">
        <f ca="1">IFERROR(__xludf.DUMMYFUNCTION("""COMPUTED_VALUE"""),"NOT")</f>
        <v>NOT</v>
      </c>
      <c r="B329" s="1" t="str">
        <f ca="1">IFERROR(__xludf.DUMMYFUNCTION("""COMPUTED_VALUE"""),"Finley Kemp,Charlie Smith")</f>
        <v>Finley Kemp,Charlie Smith</v>
      </c>
      <c r="C329" s="1" t="str">
        <f ca="1">IFERROR(__xludf.DUMMYFUNCTION("""COMPUTED_VALUE"""),"Zach Ward,Rio Davies")</f>
        <v>Zach Ward,Rio Davies</v>
      </c>
      <c r="D329" s="1" t="str">
        <f ca="1">IFERROR(__xludf.DUMMYFUNCTION("""COMPUTED_VALUE"""),"")</f>
        <v/>
      </c>
      <c r="E329" s="4">
        <f ca="1">IFERROR(__xludf.DUMMYFUNCTION("""COMPUTED_VALUE"""),49.47)</f>
        <v>49.47</v>
      </c>
      <c r="F329" s="1"/>
    </row>
    <row r="330" spans="1:6" x14ac:dyDescent="0.2">
      <c r="A330" s="1" t="str">
        <f ca="1">IFERROR(__xludf.DUMMYFUNCTION("""COMPUTED_VALUE"""),"DER")</f>
        <v>DER</v>
      </c>
      <c r="B330" s="1" t="str">
        <f ca="1">IFERROR(__xludf.DUMMYFUNCTION("""COMPUTED_VALUE"""),"Callum McFadyean,Milo Penn")</f>
        <v>Callum McFadyean,Milo Penn</v>
      </c>
      <c r="C330" s="1" t="str">
        <f ca="1">IFERROR(__xludf.DUMMYFUNCTION("""COMPUTED_VALUE"""),"Aaron Partington,Osniel Segal")</f>
        <v>Aaron Partington,Osniel Segal</v>
      </c>
      <c r="D330" s="1" t="str">
        <f ca="1">IFERROR(__xludf.DUMMYFUNCTION("""COMPUTED_VALUE"""),"")</f>
        <v/>
      </c>
      <c r="E330" s="4">
        <f ca="1">IFERROR(__xludf.DUMMYFUNCTION("""COMPUTED_VALUE"""),50.69)</f>
        <v>50.69</v>
      </c>
      <c r="F330" s="1"/>
    </row>
    <row r="331" spans="1:6" x14ac:dyDescent="0.2">
      <c r="A331" s="3" t="str">
        <f ca="1">IFERROR(__xludf.DUMMYFUNCTION("""COMPUTED_VALUE"""),"U16 Mixed 4 x 300m Relay")</f>
        <v>U16 Mixed 4 x 300m Relay</v>
      </c>
      <c r="B331" s="3"/>
      <c r="C331" s="3"/>
      <c r="D331" s="3"/>
      <c r="E331" s="3"/>
      <c r="F331" s="1"/>
    </row>
    <row r="332" spans="1:6" x14ac:dyDescent="0.2">
      <c r="A332" s="1" t="str">
        <f ca="1">IFERROR(__xludf.DUMMYFUNCTION("""COMPUTED_VALUE"""),"NOT")</f>
        <v>NOT</v>
      </c>
      <c r="B332" s="1" t="str">
        <f ca="1">IFERROR(__xludf.DUMMYFUNCTION("""COMPUTED_VALUE"""),"Alice Tootell,Annabel McGough")</f>
        <v>Alice Tootell,Annabel McGough</v>
      </c>
      <c r="C332" s="1" t="str">
        <f ca="1">IFERROR(__xludf.DUMMYFUNCTION("""COMPUTED_VALUE"""),"Fergal Giltinan,Leo Shaw")</f>
        <v>Fergal Giltinan,Leo Shaw</v>
      </c>
      <c r="D332" s="1" t="str">
        <f ca="1">IFERROR(__xludf.DUMMYFUNCTION("""COMPUTED_VALUE"""),"")</f>
        <v/>
      </c>
      <c r="E332" s="2">
        <v>1.8776620370370368E-3</v>
      </c>
      <c r="F332" s="1"/>
    </row>
    <row r="333" spans="1:6" x14ac:dyDescent="0.2">
      <c r="A333" s="1" t="str">
        <f ca="1">IFERROR(__xludf.DUMMYFUNCTION("""COMPUTED_VALUE"""),"SOU")</f>
        <v>SOU</v>
      </c>
      <c r="B333" s="1" t="str">
        <f ca="1">IFERROR(__xludf.DUMMYFUNCTION("""COMPUTED_VALUE"""),"Jessica Thake,Isabel Maxwell")</f>
        <v>Jessica Thake,Isabel Maxwell</v>
      </c>
      <c r="C333" s="1" t="str">
        <f ca="1">IFERROR(__xludf.DUMMYFUNCTION("""COMPUTED_VALUE"""),"Oscar McGuinness,Sam Sier")</f>
        <v>Oscar McGuinness,Sam Sier</v>
      </c>
      <c r="D333" s="1" t="str">
        <f ca="1">IFERROR(__xludf.DUMMYFUNCTION("""COMPUTED_VALUE"""),"")</f>
        <v/>
      </c>
      <c r="E333" s="2">
        <v>1.9150462962962964E-3</v>
      </c>
      <c r="F333" s="1"/>
    </row>
    <row r="334" spans="1:6" x14ac:dyDescent="0.2">
      <c r="A334" s="1" t="str">
        <f ca="1">IFERROR(__xludf.DUMMYFUNCTION("""COMPUTED_VALUE"""),"LIN")</f>
        <v>LIN</v>
      </c>
      <c r="B334" s="1" t="str">
        <f ca="1">IFERROR(__xludf.DUMMYFUNCTION("""COMPUTED_VALUE"""),"Florence Lilly,Eva Hart")</f>
        <v>Florence Lilly,Eva Hart</v>
      </c>
      <c r="C334" s="1" t="str">
        <f ca="1">IFERROR(__xludf.DUMMYFUNCTION("""COMPUTED_VALUE"""),"Finlay Smith,Freddie Hall")</f>
        <v>Finlay Smith,Freddie Hall</v>
      </c>
      <c r="D334" s="1" t="str">
        <f ca="1">IFERROR(__xludf.DUMMYFUNCTION("""COMPUTED_VALUE"""),"")</f>
        <v/>
      </c>
      <c r="E334" s="2">
        <v>1.9715277777777778E-3</v>
      </c>
      <c r="F334" s="1"/>
    </row>
    <row r="335" spans="1:6" x14ac:dyDescent="0.2">
      <c r="A335" s="1" t="str">
        <f ca="1">IFERROR(__xludf.DUMMYFUNCTION("""COMPUTED_VALUE"""),"DER")</f>
        <v>DER</v>
      </c>
      <c r="B335" s="1" t="str">
        <f ca="1">IFERROR(__xludf.DUMMYFUNCTION("""COMPUTED_VALUE"""),"Dayna Kaynes,Bibi Mulholland")</f>
        <v>Dayna Kaynes,Bibi Mulholland</v>
      </c>
      <c r="C335" s="1" t="str">
        <f ca="1">IFERROR(__xludf.DUMMYFUNCTION("""COMPUTED_VALUE"""),"Charlie Wardle,Tobias Zacharius")</f>
        <v>Charlie Wardle,Tobias Zacharius</v>
      </c>
      <c r="D335" s="1" t="str">
        <f ca="1">IFERROR(__xludf.DUMMYFUNCTION("""COMPUTED_VALUE"""),"")</f>
        <v/>
      </c>
      <c r="E335" s="2">
        <v>1.9747685185185185E-3</v>
      </c>
      <c r="F335" s="1"/>
    </row>
    <row r="336" spans="1:6" x14ac:dyDescent="0.2">
      <c r="A336" s="1" t="str">
        <f ca="1">IFERROR(__xludf.DUMMYFUNCTION("""COMPUTED_VALUE"""),"HUM")</f>
        <v>HUM</v>
      </c>
      <c r="B336" s="1" t="str">
        <f ca="1">IFERROR(__xludf.DUMMYFUNCTION("""COMPUTED_VALUE"""),"Pippa Foy,Jessica Clarke")</f>
        <v>Pippa Foy,Jessica Clarke</v>
      </c>
      <c r="C336" s="1" t="str">
        <f ca="1">IFERROR(__xludf.DUMMYFUNCTION("""COMPUTED_VALUE"""),"Benjamin Crabtree,Henry Neal")</f>
        <v>Benjamin Crabtree,Henry Neal</v>
      </c>
      <c r="D336" s="1" t="str">
        <f ca="1">IFERROR(__xludf.DUMMYFUNCTION("""COMPUTED_VALUE"""),"")</f>
        <v/>
      </c>
      <c r="E336" s="2">
        <v>1.9805555555555557E-3</v>
      </c>
      <c r="F336" s="1"/>
    </row>
    <row r="337" spans="1:6" x14ac:dyDescent="0.2">
      <c r="A337" s="3" t="str">
        <f ca="1">IFERROR(__xludf.DUMMYFUNCTION("""COMPUTED_VALUE"""),"U12 Girls Long Jump")</f>
        <v>U12 Girls Long Jump</v>
      </c>
      <c r="B337" s="3"/>
      <c r="C337" s="3"/>
      <c r="D337" s="3"/>
      <c r="E337" s="3"/>
      <c r="F337" s="1"/>
    </row>
    <row r="338" spans="1:6" x14ac:dyDescent="0.2">
      <c r="A338" s="1">
        <f ca="1">IFERROR(__xludf.DUMMYFUNCTION("""COMPUTED_VALUE"""),27)</f>
        <v>27</v>
      </c>
      <c r="B338" s="1" t="str">
        <f ca="1">IFERROR(__xludf.DUMMYFUNCTION("""COMPUTED_VALUE"""),"Libby Heaney")</f>
        <v>Libby Heaney</v>
      </c>
      <c r="C338" s="1" t="str">
        <f ca="1">IFERROR(__xludf.DUMMYFUNCTION("""COMPUTED_VALUE"""),"Derby")</f>
        <v>Derby</v>
      </c>
      <c r="D338" s="4">
        <f ca="1">IFERROR(__xludf.DUMMYFUNCTION("""COMPUTED_VALUE"""),4.06)</f>
        <v>4.0599999999999996</v>
      </c>
      <c r="E338" s="1"/>
      <c r="F338" s="1"/>
    </row>
    <row r="339" spans="1:6" x14ac:dyDescent="0.2">
      <c r="A339" s="1">
        <f ca="1">IFERROR(__xludf.DUMMYFUNCTION("""COMPUTED_VALUE"""),132)</f>
        <v>132</v>
      </c>
      <c r="B339" s="1" t="str">
        <f ca="1">IFERROR(__xludf.DUMMYFUNCTION("""COMPUTED_VALUE"""),"Everly Walden")</f>
        <v>Everly Walden</v>
      </c>
      <c r="C339" s="1" t="str">
        <f ca="1">IFERROR(__xludf.DUMMYFUNCTION("""COMPUTED_VALUE"""),"Vale of York")</f>
        <v>Vale of York</v>
      </c>
      <c r="D339" s="4">
        <v>4.0999999999999996</v>
      </c>
      <c r="E339" s="1"/>
      <c r="F339" s="1"/>
    </row>
    <row r="340" spans="1:6" x14ac:dyDescent="0.2">
      <c r="A340" s="1">
        <f ca="1">IFERROR(__xludf.DUMMYFUNCTION("""COMPUTED_VALUE"""),332)</f>
        <v>332</v>
      </c>
      <c r="B340" s="1" t="str">
        <f ca="1">IFERROR(__xludf.DUMMYFUNCTION("""COMPUTED_VALUE"""),"Connie Waterson")</f>
        <v>Connie Waterson</v>
      </c>
      <c r="C340" s="1" t="str">
        <f ca="1">IFERROR(__xludf.DUMMYFUNCTION("""COMPUTED_VALUE"""),"B&amp;DAC")</f>
        <v>B&amp;DAC</v>
      </c>
      <c r="D340" s="4">
        <f ca="1">IFERROR(__xludf.DUMMYFUNCTION("""COMPUTED_VALUE"""),3.47)</f>
        <v>3.47</v>
      </c>
      <c r="E340" s="1"/>
      <c r="F340" s="1"/>
    </row>
    <row r="341" spans="1:6" x14ac:dyDescent="0.2">
      <c r="A341" s="1">
        <f ca="1">IFERROR(__xludf.DUMMYFUNCTION("""COMPUTED_VALUE"""),433)</f>
        <v>433</v>
      </c>
      <c r="B341" s="1" t="str">
        <f ca="1">IFERROR(__xludf.DUMMYFUNCTION("""COMPUTED_VALUE"""),"Esme Bacon")</f>
        <v>Esme Bacon</v>
      </c>
      <c r="C341" s="1" t="str">
        <f ca="1">IFERROR(__xludf.DUMMYFUNCTION("""COMPUTED_VALUE"""),"Mansfield")</f>
        <v>Mansfield</v>
      </c>
      <c r="D341" s="4">
        <v>3.84</v>
      </c>
      <c r="E341" s="1"/>
      <c r="F341" s="1"/>
    </row>
    <row r="342" spans="1:6" x14ac:dyDescent="0.2">
      <c r="A342" s="1">
        <f ca="1">IFERROR(__xludf.DUMMYFUNCTION("""COMPUTED_VALUE"""),527)</f>
        <v>527</v>
      </c>
      <c r="B342" s="1" t="str">
        <f ca="1">IFERROR(__xludf.DUMMYFUNCTION("""COMPUTED_VALUE"""),"Caitlin Hughes")</f>
        <v>Caitlin Hughes</v>
      </c>
      <c r="C342" s="1" t="str">
        <f ca="1">IFERROR(__xludf.DUMMYFUNCTION("""COMPUTED_VALUE"""),"Rotherham")</f>
        <v>Rotherham</v>
      </c>
      <c r="D342" s="4">
        <v>3.57</v>
      </c>
      <c r="E342" s="1"/>
      <c r="F342" s="1"/>
    </row>
    <row r="343" spans="1:6" x14ac:dyDescent="0.2">
      <c r="A343" s="1">
        <f ca="1">IFERROR(__xludf.DUMMYFUNCTION("""COMPUTED_VALUE"""),28)</f>
        <v>28</v>
      </c>
      <c r="B343" s="1" t="str">
        <f ca="1">IFERROR(__xludf.DUMMYFUNCTION("""COMPUTED_VALUE"""),"Gracie Brien")</f>
        <v>Gracie Brien</v>
      </c>
      <c r="C343" s="1" t="str">
        <f ca="1">IFERROR(__xludf.DUMMYFUNCTION("""COMPUTED_VALUE"""),"Derby")</f>
        <v>Derby</v>
      </c>
      <c r="D343" s="4">
        <f ca="1">IFERROR(__xludf.DUMMYFUNCTION("""COMPUTED_VALUE"""),3.75)</f>
        <v>3.75</v>
      </c>
      <c r="E343" s="1"/>
      <c r="F343" s="1"/>
    </row>
    <row r="344" spans="1:6" x14ac:dyDescent="0.2">
      <c r="A344" s="1">
        <f ca="1">IFERROR(__xludf.DUMMYFUNCTION("""COMPUTED_VALUE"""),135)</f>
        <v>135</v>
      </c>
      <c r="B344" s="1" t="str">
        <f ca="1">IFERROR(__xludf.DUMMYFUNCTION("""COMPUTED_VALUE"""),"Megan Herron")</f>
        <v>Megan Herron</v>
      </c>
      <c r="C344" s="1" t="str">
        <f ca="1">IFERROR(__xludf.DUMMYFUNCTION("""COMPUTED_VALUE"""),"Scunthorpe")</f>
        <v>Scunthorpe</v>
      </c>
      <c r="D344" s="4">
        <f ca="1">IFERROR(__xludf.DUMMYFUNCTION("""COMPUTED_VALUE"""),3.76)</f>
        <v>3.76</v>
      </c>
      <c r="E344" s="1"/>
      <c r="F344" s="1"/>
    </row>
    <row r="345" spans="1:6" x14ac:dyDescent="0.2">
      <c r="A345" s="1">
        <f ca="1">IFERROR(__xludf.DUMMYFUNCTION("""COMPUTED_VALUE"""),328)</f>
        <v>328</v>
      </c>
      <c r="B345" s="1" t="str">
        <f ca="1">IFERROR(__xludf.DUMMYFUNCTION("""COMPUTED_VALUE"""),"Rebecca Batista")</f>
        <v>Rebecca Batista</v>
      </c>
      <c r="C345" s="1" t="str">
        <f ca="1">IFERROR(__xludf.DUMMYFUNCTION("""COMPUTED_VALUE"""),"LWAC")</f>
        <v>LWAC</v>
      </c>
      <c r="D345" s="4">
        <f ca="1">IFERROR(__xludf.DUMMYFUNCTION("""COMPUTED_VALUE"""),3.24)</f>
        <v>3.24</v>
      </c>
      <c r="E345" s="1"/>
      <c r="F345" s="1"/>
    </row>
    <row r="346" spans="1:6" x14ac:dyDescent="0.2">
      <c r="A346" s="1">
        <f ca="1">IFERROR(__xludf.DUMMYFUNCTION("""COMPUTED_VALUE"""),436)</f>
        <v>436</v>
      </c>
      <c r="B346" s="1" t="str">
        <f ca="1">IFERROR(__xludf.DUMMYFUNCTION("""COMPUTED_VALUE"""),"Harriet Knowles")</f>
        <v>Harriet Knowles</v>
      </c>
      <c r="C346" s="1" t="str">
        <f ca="1">IFERROR(__xludf.DUMMYFUNCTION("""COMPUTED_VALUE"""),"Rushcliffe")</f>
        <v>Rushcliffe</v>
      </c>
      <c r="D346" s="4">
        <f ca="1">IFERROR(__xludf.DUMMYFUNCTION("""COMPUTED_VALUE"""),3.74)</f>
        <v>3.74</v>
      </c>
      <c r="E346" s="1"/>
      <c r="F346" s="1"/>
    </row>
    <row r="347" spans="1:6" x14ac:dyDescent="0.2">
      <c r="A347" s="1">
        <f ca="1">IFERROR(__xludf.DUMMYFUNCTION("""COMPUTED_VALUE"""),531)</f>
        <v>531</v>
      </c>
      <c r="B347" s="1" t="str">
        <f ca="1">IFERROR(__xludf.DUMMYFUNCTION("""COMPUTED_VALUE"""),"Ivy Roberts")</f>
        <v>Ivy Roberts</v>
      </c>
      <c r="C347" s="1" t="str">
        <f ca="1">IFERROR(__xludf.DUMMYFUNCTION("""COMPUTED_VALUE"""),"Hallamshire")</f>
        <v>Hallamshire</v>
      </c>
      <c r="D347" s="4">
        <f ca="1">IFERROR(__xludf.DUMMYFUNCTION("""COMPUTED_VALUE"""),3.72)</f>
        <v>3.72</v>
      </c>
      <c r="E347" s="1"/>
      <c r="F347" s="1"/>
    </row>
    <row r="348" spans="1:6" x14ac:dyDescent="0.2">
      <c r="A348" s="3" t="str">
        <f ca="1">IFERROR(__xludf.DUMMYFUNCTION("""COMPUTED_VALUE"""),"U14 Boys High Jump")</f>
        <v>U14 Boys High Jump</v>
      </c>
      <c r="B348" s="3"/>
      <c r="C348" s="3"/>
      <c r="D348" s="3"/>
      <c r="E348" s="7" t="s">
        <v>4</v>
      </c>
      <c r="F348" s="1"/>
    </row>
    <row r="349" spans="1:6" x14ac:dyDescent="0.2">
      <c r="A349" s="1">
        <f ca="1">IFERROR(__xludf.DUMMYFUNCTION("""COMPUTED_VALUE"""),116)</f>
        <v>116</v>
      </c>
      <c r="B349" s="1" t="str">
        <f ca="1">IFERROR(__xludf.DUMMYFUNCTION("""COMPUTED_VALUE"""),"Joshua Mendez")</f>
        <v>Joshua Mendez</v>
      </c>
      <c r="C349" s="1" t="str">
        <f ca="1">IFERROR(__xludf.DUMMYFUNCTION("""COMPUTED_VALUE"""),"KUHAC")</f>
        <v>KUHAC</v>
      </c>
      <c r="D349" s="4">
        <f ca="1">IFERROR(__xludf.DUMMYFUNCTION("""COMPUTED_VALUE"""),1.5)</f>
        <v>1.5</v>
      </c>
      <c r="E349" s="1">
        <v>5</v>
      </c>
      <c r="F349" s="1"/>
    </row>
    <row r="350" spans="1:6" x14ac:dyDescent="0.2">
      <c r="A350" s="1">
        <f ca="1">IFERROR(__xludf.DUMMYFUNCTION("""COMPUTED_VALUE"""),312)</f>
        <v>312</v>
      </c>
      <c r="B350" s="1" t="str">
        <f ca="1">IFERROR(__xludf.DUMMYFUNCTION("""COMPUTED_VALUE"""),"Jacob Robinson")</f>
        <v>Jacob Robinson</v>
      </c>
      <c r="C350" s="1" t="str">
        <f ca="1">IFERROR(__xludf.DUMMYFUNCTION("""COMPUTED_VALUE"""),"LWAC")</f>
        <v>LWAC</v>
      </c>
      <c r="D350" s="5" t="s">
        <v>0</v>
      </c>
      <c r="E350" s="1"/>
      <c r="F350" s="1"/>
    </row>
    <row r="351" spans="1:6" x14ac:dyDescent="0.2">
      <c r="A351" s="1">
        <f ca="1">IFERROR(__xludf.DUMMYFUNCTION("""COMPUTED_VALUE"""),411)</f>
        <v>411</v>
      </c>
      <c r="B351" s="1" t="str">
        <f ca="1">IFERROR(__xludf.DUMMYFUNCTION("""COMPUTED_VALUE"""),"Toby Paget")</f>
        <v>Toby Paget</v>
      </c>
      <c r="C351" s="1" t="str">
        <f ca="1">IFERROR(__xludf.DUMMYFUNCTION("""COMPUTED_VALUE"""),"Rushcliffe")</f>
        <v>Rushcliffe</v>
      </c>
      <c r="D351" s="4">
        <f ca="1">IFERROR(__xludf.DUMMYFUNCTION("""COMPUTED_VALUE"""),1.7)</f>
        <v>1.7</v>
      </c>
      <c r="E351" s="1">
        <v>1</v>
      </c>
      <c r="F351" s="1"/>
    </row>
    <row r="352" spans="1:6" x14ac:dyDescent="0.2">
      <c r="A352" s="1">
        <f ca="1">IFERROR(__xludf.DUMMYFUNCTION("""COMPUTED_VALUE"""),514)</f>
        <v>514</v>
      </c>
      <c r="B352" s="1" t="str">
        <f ca="1">IFERROR(__xludf.DUMMYFUNCTION("""COMPUTED_VALUE"""),"Joseph Dale")</f>
        <v>Joseph Dale</v>
      </c>
      <c r="C352" s="1" t="str">
        <f ca="1">IFERROR(__xludf.DUMMYFUNCTION("""COMPUTED_VALUE"""),"City of Sheffield")</f>
        <v>City of Sheffield</v>
      </c>
      <c r="D352" s="4">
        <f ca="1">IFERROR(__xludf.DUMMYFUNCTION("""COMPUTED_VALUE"""),1.5)</f>
        <v>1.5</v>
      </c>
      <c r="E352" s="1">
        <v>5</v>
      </c>
      <c r="F352" s="1"/>
    </row>
    <row r="353" spans="1:6" x14ac:dyDescent="0.2">
      <c r="A353" s="1">
        <f ca="1">IFERROR(__xludf.DUMMYFUNCTION("""COMPUTED_VALUE"""),9)</f>
        <v>9</v>
      </c>
      <c r="B353" s="1" t="str">
        <f ca="1">IFERROR(__xludf.DUMMYFUNCTION("""COMPUTED_VALUE"""),"Owen Watson")</f>
        <v>Owen Watson</v>
      </c>
      <c r="C353" s="1" t="str">
        <f ca="1">IFERROR(__xludf.DUMMYFUNCTION("""COMPUTED_VALUE"""),"AVEAC")</f>
        <v>AVEAC</v>
      </c>
      <c r="D353" s="4">
        <f ca="1">IFERROR(__xludf.DUMMYFUNCTION("""COMPUTED_VALUE"""),1.45)</f>
        <v>1.45</v>
      </c>
      <c r="E353" s="1">
        <v>7</v>
      </c>
      <c r="F353" s="1"/>
    </row>
    <row r="354" spans="1:6" x14ac:dyDescent="0.2">
      <c r="A354" s="1">
        <f ca="1">IFERROR(__xludf.DUMMYFUNCTION("""COMPUTED_VALUE"""),115)</f>
        <v>115</v>
      </c>
      <c r="B354" s="1" t="str">
        <f ca="1">IFERROR(__xludf.DUMMYFUNCTION("""COMPUTED_VALUE"""),"Thomas Dover")</f>
        <v>Thomas Dover</v>
      </c>
      <c r="C354" s="1" t="str">
        <f ca="1">IFERROR(__xludf.DUMMYFUNCTION("""COMPUTED_VALUE"""),"City of York")</f>
        <v>City of York</v>
      </c>
      <c r="D354" s="4">
        <f ca="1">IFERROR(__xludf.DUMMYFUNCTION("""COMPUTED_VALUE"""),1.6)</f>
        <v>1.6</v>
      </c>
      <c r="E354" s="1">
        <v>2</v>
      </c>
      <c r="F354" s="1"/>
    </row>
    <row r="355" spans="1:6" x14ac:dyDescent="0.2">
      <c r="A355" s="1">
        <f ca="1">IFERROR(__xludf.DUMMYFUNCTION("""COMPUTED_VALUE"""),314)</f>
        <v>314</v>
      </c>
      <c r="B355" s="1" t="str">
        <f ca="1">IFERROR(__xludf.DUMMYFUNCTION("""COMPUTED_VALUE"""),"Oliver Guiness")</f>
        <v>Oliver Guiness</v>
      </c>
      <c r="C355" s="1" t="str">
        <f ca="1">IFERROR(__xludf.DUMMYFUNCTION("""COMPUTED_VALUE"""),"LWAC")</f>
        <v>LWAC</v>
      </c>
      <c r="D355" s="5" t="s">
        <v>0</v>
      </c>
      <c r="E355" s="1"/>
      <c r="F355" s="1"/>
    </row>
    <row r="356" spans="1:6" x14ac:dyDescent="0.2">
      <c r="A356" s="1">
        <f ca="1">IFERROR(__xludf.DUMMYFUNCTION("""COMPUTED_VALUE"""),410)</f>
        <v>410</v>
      </c>
      <c r="B356" s="1" t="str">
        <f ca="1">IFERROR(__xludf.DUMMYFUNCTION("""COMPUTED_VALUE"""),"Max Gallie")</f>
        <v>Max Gallie</v>
      </c>
      <c r="C356" s="1" t="str">
        <f ca="1">IFERROR(__xludf.DUMMYFUNCTION("""COMPUTED_VALUE"""),"Notts")</f>
        <v>Notts</v>
      </c>
      <c r="D356" s="4">
        <f ca="1">IFERROR(__xludf.DUMMYFUNCTION("""COMPUTED_VALUE"""),1.55)</f>
        <v>1.55</v>
      </c>
      <c r="E356" s="1">
        <v>3</v>
      </c>
      <c r="F356" s="1"/>
    </row>
    <row r="357" spans="1:6" x14ac:dyDescent="0.2">
      <c r="A357" s="1">
        <f ca="1">IFERROR(__xludf.DUMMYFUNCTION("""COMPUTED_VALUE"""),513)</f>
        <v>513</v>
      </c>
      <c r="B357" s="1" t="str">
        <f ca="1">IFERROR(__xludf.DUMMYFUNCTION("""COMPUTED_VALUE"""),"Thomas Anderson")</f>
        <v>Thomas Anderson</v>
      </c>
      <c r="C357" s="1" t="str">
        <f ca="1">IFERROR(__xludf.DUMMYFUNCTION("""COMPUTED_VALUE"""),"City of Sheffield")</f>
        <v>City of Sheffield</v>
      </c>
      <c r="D357" s="4">
        <f ca="1">IFERROR(__xludf.DUMMYFUNCTION("""COMPUTED_VALUE"""),1.55)</f>
        <v>1.55</v>
      </c>
      <c r="E357" s="1">
        <v>4</v>
      </c>
      <c r="F357" s="1"/>
    </row>
    <row r="358" spans="1:6" x14ac:dyDescent="0.2">
      <c r="A358" s="1">
        <f ca="1">IFERROR(__xludf.DUMMYFUNCTION("""COMPUTED_VALUE"""),14)</f>
        <v>14</v>
      </c>
      <c r="B358" s="1" t="str">
        <f ca="1">IFERROR(__xludf.DUMMYFUNCTION("""COMPUTED_VALUE"""),"James Baker")</f>
        <v>James Baker</v>
      </c>
      <c r="C358" s="1" t="str">
        <f ca="1">IFERROR(__xludf.DUMMYFUNCTION("""COMPUTED_VALUE"""),"Derby")</f>
        <v>Derby</v>
      </c>
      <c r="D358" s="4">
        <f ca="1">IFERROR(__xludf.DUMMYFUNCTION("""COMPUTED_VALUE"""),1.4)</f>
        <v>1.4</v>
      </c>
      <c r="E358" s="1">
        <v>8</v>
      </c>
      <c r="F358" s="1"/>
    </row>
    <row r="359" spans="1:6" x14ac:dyDescent="0.2">
      <c r="A359" s="3" t="str">
        <f ca="1">IFERROR(__xludf.DUMMYFUNCTION("""COMPUTED_VALUE"""),"U16 Boys Shot Put (4.0KG)")</f>
        <v>U16 Boys Shot Put (4.0KG)</v>
      </c>
      <c r="B359" s="3"/>
      <c r="C359" s="3"/>
      <c r="D359" s="3"/>
      <c r="E359" s="3"/>
      <c r="F359" s="1"/>
    </row>
    <row r="360" spans="1:6" x14ac:dyDescent="0.2">
      <c r="A360" s="1">
        <f ca="1">IFERROR(__xludf.DUMMYFUNCTION("""COMPUTED_VALUE"""),323)</f>
        <v>323</v>
      </c>
      <c r="B360" s="1" t="str">
        <f ca="1">IFERROR(__xludf.DUMMYFUNCTION("""COMPUTED_VALUE"""),"Bailey Smith")</f>
        <v>Bailey Smith</v>
      </c>
      <c r="C360" s="1" t="str">
        <f ca="1">IFERROR(__xludf.DUMMYFUNCTION("""COMPUTED_VALUE"""),"Grantham AC")</f>
        <v>Grantham AC</v>
      </c>
      <c r="D360" s="1">
        <f ca="1">IFERROR(__xludf.DUMMYFUNCTION("""COMPUTED_VALUE"""),12.97)</f>
        <v>12.97</v>
      </c>
      <c r="E360" s="1"/>
      <c r="F360" s="1"/>
    </row>
    <row r="361" spans="1:6" x14ac:dyDescent="0.2">
      <c r="A361" s="1">
        <f ca="1">IFERROR(__xludf.DUMMYFUNCTION("""COMPUTED_VALUE"""),428)</f>
        <v>428</v>
      </c>
      <c r="B361" s="1" t="str">
        <f ca="1">IFERROR(__xludf.DUMMYFUNCTION("""COMPUTED_VALUE"""),"James Dobbs")</f>
        <v>James Dobbs</v>
      </c>
      <c r="C361" s="1" t="str">
        <f ca="1">IFERROR(__xludf.DUMMYFUNCTION("""COMPUTED_VALUE"""),"Retford")</f>
        <v>Retford</v>
      </c>
      <c r="D361" s="1">
        <f ca="1">IFERROR(__xludf.DUMMYFUNCTION("""COMPUTED_VALUE"""),11.22)</f>
        <v>11.22</v>
      </c>
      <c r="E361" s="1"/>
      <c r="F361" s="1"/>
    </row>
    <row r="362" spans="1:6" x14ac:dyDescent="0.2">
      <c r="A362" s="1">
        <f ca="1">IFERROR(__xludf.DUMMYFUNCTION("""COMPUTED_VALUE"""),525)</f>
        <v>525</v>
      </c>
      <c r="B362" s="1" t="str">
        <f ca="1">IFERROR(__xludf.DUMMYFUNCTION("""COMPUTED_VALUE"""),"Mason Oxley")</f>
        <v>Mason Oxley</v>
      </c>
      <c r="C362" s="1" t="str">
        <f ca="1">IFERROR(__xludf.DUMMYFUNCTION("""COMPUTED_VALUE"""),"City of Sheffield")</f>
        <v>City of Sheffield</v>
      </c>
      <c r="D362" s="1">
        <v>14.35</v>
      </c>
      <c r="E362" s="1"/>
      <c r="F362" s="1"/>
    </row>
    <row r="363" spans="1:6" x14ac:dyDescent="0.2">
      <c r="A363" s="1">
        <f ca="1">IFERROR(__xludf.DUMMYFUNCTION("""COMPUTED_VALUE"""),26)</f>
        <v>26</v>
      </c>
      <c r="B363" s="1" t="str">
        <f ca="1">IFERROR(__xludf.DUMMYFUNCTION("""COMPUTED_VALUE"""),"Aaron Partington")</f>
        <v>Aaron Partington</v>
      </c>
      <c r="C363" s="1" t="str">
        <f ca="1">IFERROR(__xludf.DUMMYFUNCTION("""COMPUTED_VALUE"""),"High Peak")</f>
        <v>High Peak</v>
      </c>
      <c r="D363" s="1">
        <f ca="1">IFERROR(__xludf.DUMMYFUNCTION("""COMPUTED_VALUE"""),13.06)</f>
        <v>13.06</v>
      </c>
      <c r="E363" s="1"/>
      <c r="F363" s="1"/>
    </row>
    <row r="364" spans="1:6" x14ac:dyDescent="0.2">
      <c r="A364" s="1">
        <f ca="1">IFERROR(__xludf.DUMMYFUNCTION("""COMPUTED_VALUE"""),129)</f>
        <v>129</v>
      </c>
      <c r="B364" s="1" t="str">
        <f ca="1">IFERROR(__xludf.DUMMYFUNCTION("""COMPUTED_VALUE"""),"Oliver Hussain")</f>
        <v>Oliver Hussain</v>
      </c>
      <c r="C364" s="1" t="str">
        <f ca="1">IFERROR(__xludf.DUMMYFUNCTION("""COMPUTED_VALUE"""),"KUHAC")</f>
        <v>KUHAC</v>
      </c>
      <c r="D364" s="1">
        <f ca="1">IFERROR(__xludf.DUMMYFUNCTION("""COMPUTED_VALUE"""),11.01)</f>
        <v>11.01</v>
      </c>
      <c r="E364" s="1"/>
      <c r="F364" s="1"/>
    </row>
    <row r="365" spans="1:6" x14ac:dyDescent="0.2">
      <c r="A365" s="1">
        <f ca="1">IFERROR(__xludf.DUMMYFUNCTION("""COMPUTED_VALUE"""),325)</f>
        <v>325</v>
      </c>
      <c r="B365" s="1" t="str">
        <f ca="1">IFERROR(__xludf.DUMMYFUNCTION("""COMPUTED_VALUE"""),"Damian McNally")</f>
        <v>Damian McNally</v>
      </c>
      <c r="C365" s="1" t="str">
        <f ca="1">IFERROR(__xludf.DUMMYFUNCTION("""COMPUTED_VALUE"""),"PANVAC")</f>
        <v>PANVAC</v>
      </c>
      <c r="D365" s="1">
        <f ca="1">IFERROR(__xludf.DUMMYFUNCTION("""COMPUTED_VALUE"""),9.96)</f>
        <v>9.9600000000000009</v>
      </c>
      <c r="E365" s="1"/>
      <c r="F365" s="1"/>
    </row>
    <row r="366" spans="1:6" x14ac:dyDescent="0.2">
      <c r="A366" s="1">
        <f ca="1">IFERROR(__xludf.DUMMYFUNCTION("""COMPUTED_VALUE"""),418)</f>
        <v>418</v>
      </c>
      <c r="B366" s="1" t="str">
        <f ca="1">IFERROR(__xludf.DUMMYFUNCTION("""COMPUTED_VALUE"""),"Charlie Smith")</f>
        <v>Charlie Smith</v>
      </c>
      <c r="C366" s="1" t="str">
        <f ca="1">IFERROR(__xludf.DUMMYFUNCTION("""COMPUTED_VALUE"""),"Rushcliffe")</f>
        <v>Rushcliffe</v>
      </c>
      <c r="D366" s="1">
        <f ca="1">IFERROR(__xludf.DUMMYFUNCTION("""COMPUTED_VALUE"""),8.19)</f>
        <v>8.19</v>
      </c>
      <c r="E366" s="1"/>
      <c r="F366" s="1"/>
    </row>
    <row r="367" spans="1:6" x14ac:dyDescent="0.2">
      <c r="A367" s="1">
        <f ca="1">IFERROR(__xludf.DUMMYFUNCTION("""COMPUTED_VALUE"""),524)</f>
        <v>524</v>
      </c>
      <c r="B367" s="1" t="str">
        <f ca="1">IFERROR(__xludf.DUMMYFUNCTION("""COMPUTED_VALUE"""),"Soren McSweeney")</f>
        <v>Soren McSweeney</v>
      </c>
      <c r="C367" s="1" t="str">
        <f ca="1">IFERROR(__xludf.DUMMYFUNCTION("""COMPUTED_VALUE"""),"City of Sheffield")</f>
        <v>City of Sheffield</v>
      </c>
      <c r="D367" s="1">
        <f ca="1">IFERROR(__xludf.DUMMYFUNCTION("""COMPUTED_VALUE"""),8.93)</f>
        <v>8.93</v>
      </c>
      <c r="E367" s="1"/>
      <c r="F367" s="1"/>
    </row>
    <row r="368" spans="1:6" x14ac:dyDescent="0.2">
      <c r="A368" s="1">
        <f ca="1">IFERROR(__xludf.DUMMYFUNCTION("""COMPUTED_VALUE"""),19)</f>
        <v>19</v>
      </c>
      <c r="B368" s="1" t="str">
        <f ca="1">IFERROR(__xludf.DUMMYFUNCTION("""COMPUTED_VALUE"""),"Milo Penn")</f>
        <v>Milo Penn</v>
      </c>
      <c r="C368" s="1" t="str">
        <f ca="1">IFERROR(__xludf.DUMMYFUNCTION("""COMPUTED_VALUE"""),"High Peak")</f>
        <v>High Peak</v>
      </c>
      <c r="D368" s="1">
        <f ca="1">IFERROR(__xludf.DUMMYFUNCTION("""COMPUTED_VALUE"""),11.57)</f>
        <v>11.57</v>
      </c>
      <c r="E368" s="1"/>
      <c r="F368" s="1"/>
    </row>
    <row r="369" spans="1:6" x14ac:dyDescent="0.2">
      <c r="A369" s="1">
        <f ca="1">IFERROR(__xludf.DUMMYFUNCTION("""COMPUTED_VALUE"""),130)</f>
        <v>130</v>
      </c>
      <c r="B369" s="1" t="str">
        <f ca="1">IFERROR(__xludf.DUMMYFUNCTION("""COMPUTED_VALUE"""),"Tristan Koyuncu")</f>
        <v>Tristan Koyuncu</v>
      </c>
      <c r="C369" s="1" t="str">
        <f ca="1">IFERROR(__xludf.DUMMYFUNCTION("""COMPUTED_VALUE"""),"KUHAC")</f>
        <v>KUHAC</v>
      </c>
      <c r="D369" s="1">
        <f ca="1">IFERROR(__xludf.DUMMYFUNCTION("""COMPUTED_VALUE"""),11.78)</f>
        <v>11.78</v>
      </c>
      <c r="E369" s="1"/>
      <c r="F369" s="1"/>
    </row>
    <row r="370" spans="1:6" x14ac:dyDescent="0.2">
      <c r="A370" s="3" t="str">
        <f ca="1">IFERROR(__xludf.DUMMYFUNCTION("""COMPUTED_VALUE"""),"U16 Girls Discus (1.0KG)")</f>
        <v>U16 Girls Discus (1.0KG)</v>
      </c>
      <c r="B370" s="3"/>
      <c r="C370" s="3"/>
      <c r="D370" s="3"/>
      <c r="E370" s="3"/>
      <c r="F370" s="1"/>
    </row>
    <row r="371" spans="1:6" x14ac:dyDescent="0.2">
      <c r="A371" s="1">
        <f ca="1">IFERROR(__xludf.DUMMYFUNCTION("""COMPUTED_VALUE"""),352)</f>
        <v>352</v>
      </c>
      <c r="B371" s="1" t="str">
        <f ca="1">IFERROR(__xludf.DUMMYFUNCTION("""COMPUTED_VALUE"""),"Lexie Parsonage")</f>
        <v>Lexie Parsonage</v>
      </c>
      <c r="C371" s="1" t="str">
        <f ca="1">IFERROR(__xludf.DUMMYFUNCTION("""COMPUTED_VALUE"""),"LWAC")</f>
        <v>LWAC</v>
      </c>
      <c r="D371" s="1">
        <f ca="1">IFERROR(__xludf.DUMMYFUNCTION("""COMPUTED_VALUE"""),17.19)</f>
        <v>17.190000000000001</v>
      </c>
      <c r="E371" s="1"/>
      <c r="F371" s="1"/>
    </row>
    <row r="372" spans="1:6" x14ac:dyDescent="0.2">
      <c r="A372" s="1">
        <f ca="1">IFERROR(__xludf.DUMMYFUNCTION("""COMPUTED_VALUE"""),457)</f>
        <v>457</v>
      </c>
      <c r="B372" s="1" t="str">
        <f ca="1">IFERROR(__xludf.DUMMYFUNCTION("""COMPUTED_VALUE"""),"Alice Tootell")</f>
        <v>Alice Tootell</v>
      </c>
      <c r="C372" s="1" t="str">
        <f ca="1">IFERROR(__xludf.DUMMYFUNCTION("""COMPUTED_VALUE"""),"Mansfield")</f>
        <v>Mansfield</v>
      </c>
      <c r="D372" s="1">
        <f ca="1">IFERROR(__xludf.DUMMYFUNCTION("""COMPUTED_VALUE"""),22.76)</f>
        <v>22.76</v>
      </c>
      <c r="E372" s="1"/>
      <c r="F372" s="1"/>
    </row>
    <row r="373" spans="1:6" x14ac:dyDescent="0.2">
      <c r="A373" s="1">
        <f ca="1">IFERROR(__xludf.DUMMYFUNCTION("""COMPUTED_VALUE"""),552)</f>
        <v>552</v>
      </c>
      <c r="B373" s="1" t="str">
        <f ca="1">IFERROR(__xludf.DUMMYFUNCTION("""COMPUTED_VALUE"""),"Fenella Wood")</f>
        <v>Fenella Wood</v>
      </c>
      <c r="C373" s="1" t="str">
        <f ca="1">IFERROR(__xludf.DUMMYFUNCTION("""COMPUTED_VALUE"""),"Hallamshire")</f>
        <v>Hallamshire</v>
      </c>
      <c r="D373" s="1">
        <f ca="1">IFERROR(__xludf.DUMMYFUNCTION("""COMPUTED_VALUE"""),19.34)</f>
        <v>19.34</v>
      </c>
      <c r="E373" s="1"/>
      <c r="F373" s="1"/>
    </row>
    <row r="374" spans="1:6" x14ac:dyDescent="0.2">
      <c r="A374" s="1">
        <f ca="1">IFERROR(__xludf.DUMMYFUNCTION("""COMPUTED_VALUE"""),58)</f>
        <v>58</v>
      </c>
      <c r="B374" s="1" t="str">
        <f ca="1">IFERROR(__xludf.DUMMYFUNCTION("""COMPUTED_VALUE"""),"Chloe Gates")</f>
        <v>Chloe Gates</v>
      </c>
      <c r="C374" s="1" t="str">
        <f ca="1">IFERROR(__xludf.DUMMYFUNCTION("""COMPUTED_VALUE"""),"Derby")</f>
        <v>Derby</v>
      </c>
      <c r="D374" s="1">
        <f ca="1">IFERROR(__xludf.DUMMYFUNCTION("""COMPUTED_VALUE"""),28.91)</f>
        <v>28.91</v>
      </c>
      <c r="E374" s="1"/>
      <c r="F374" s="1"/>
    </row>
    <row r="375" spans="1:6" x14ac:dyDescent="0.2">
      <c r="A375" s="1">
        <f ca="1">IFERROR(__xludf.DUMMYFUNCTION("""COMPUTED_VALUE"""),165)</f>
        <v>165</v>
      </c>
      <c r="B375" s="1" t="str">
        <f ca="1">IFERROR(__xludf.DUMMYFUNCTION("""COMPUTED_VALUE"""),"Elli Warden")</f>
        <v>Elli Warden</v>
      </c>
      <c r="C375" s="1" t="str">
        <f ca="1">IFERROR(__xludf.DUMMYFUNCTION("""COMPUTED_VALUE"""),"KUHAC")</f>
        <v>KUHAC</v>
      </c>
      <c r="D375" s="1">
        <f ca="1">IFERROR(__xludf.DUMMYFUNCTION("""COMPUTED_VALUE"""),35.82)</f>
        <v>35.82</v>
      </c>
      <c r="E375" s="1"/>
      <c r="F375" s="1"/>
    </row>
    <row r="376" spans="1:6" x14ac:dyDescent="0.2">
      <c r="A376" s="1">
        <f ca="1">IFERROR(__xludf.DUMMYFUNCTION("""COMPUTED_VALUE"""),346)</f>
        <v>346</v>
      </c>
      <c r="B376" s="1" t="str">
        <f ca="1">IFERROR(__xludf.DUMMYFUNCTION("""COMPUTED_VALUE"""),"Letitia Arch")</f>
        <v>Letitia Arch</v>
      </c>
      <c r="C376" s="1" t="str">
        <f ca="1">IFERROR(__xludf.DUMMYFUNCTION("""COMPUTED_VALUE"""),"PANVAC")</f>
        <v>PANVAC</v>
      </c>
      <c r="D376" s="1">
        <f ca="1">IFERROR(__xludf.DUMMYFUNCTION("""COMPUTED_VALUE"""),14.14)</f>
        <v>14.14</v>
      </c>
      <c r="E376" s="1"/>
      <c r="F376" s="1"/>
    </row>
    <row r="377" spans="1:6" x14ac:dyDescent="0.2">
      <c r="A377" s="1">
        <f ca="1">IFERROR(__xludf.DUMMYFUNCTION("""COMPUTED_VALUE"""),459)</f>
        <v>459</v>
      </c>
      <c r="B377" s="1" t="str">
        <f ca="1">IFERROR(__xludf.DUMMYFUNCTION("""COMPUTED_VALUE"""),"Xena Marshall")</f>
        <v>Xena Marshall</v>
      </c>
      <c r="C377" s="1" t="str">
        <f ca="1">IFERROR(__xludf.DUMMYFUNCTION("""COMPUTED_VALUE"""),"Retford")</f>
        <v>Retford</v>
      </c>
      <c r="D377" s="1">
        <f ca="1">IFERROR(__xludf.DUMMYFUNCTION("""COMPUTED_VALUE"""),20.66)</f>
        <v>20.66</v>
      </c>
      <c r="E377" s="1"/>
      <c r="F377" s="1"/>
    </row>
    <row r="378" spans="1:6" x14ac:dyDescent="0.2">
      <c r="A378" s="1">
        <f ca="1">IFERROR(__xludf.DUMMYFUNCTION("""COMPUTED_VALUE"""),550)</f>
        <v>550</v>
      </c>
      <c r="B378" s="1" t="str">
        <f ca="1">IFERROR(__xludf.DUMMYFUNCTION("""COMPUTED_VALUE"""),"Grace Raynor")</f>
        <v>Grace Raynor</v>
      </c>
      <c r="C378" s="1" t="str">
        <f ca="1">IFERROR(__xludf.DUMMYFUNCTION("""COMPUTED_VALUE"""),"Hallamshire")</f>
        <v>Hallamshire</v>
      </c>
      <c r="D378" s="1">
        <f ca="1">IFERROR(__xludf.DUMMYFUNCTION("""COMPUTED_VALUE"""),18.92)</f>
        <v>18.920000000000002</v>
      </c>
      <c r="E378" s="1"/>
      <c r="F378" s="1"/>
    </row>
    <row r="379" spans="1:6" x14ac:dyDescent="0.2">
      <c r="A379" s="1">
        <f ca="1">IFERROR(__xludf.DUMMYFUNCTION("""COMPUTED_VALUE"""),57)</f>
        <v>57</v>
      </c>
      <c r="B379" s="1" t="str">
        <f ca="1">IFERROR(__xludf.DUMMYFUNCTION("""COMPUTED_VALUE"""),"Emily Ross")</f>
        <v>Emily Ross</v>
      </c>
      <c r="C379" s="1" t="str">
        <f ca="1">IFERROR(__xludf.DUMMYFUNCTION("""COMPUTED_VALUE"""),"Chesterfield")</f>
        <v>Chesterfield</v>
      </c>
      <c r="D379" s="1">
        <f ca="1">IFERROR(__xludf.DUMMYFUNCTION("""COMPUTED_VALUE"""),26.01)</f>
        <v>26.01</v>
      </c>
      <c r="E379" s="1"/>
      <c r="F379" s="1"/>
    </row>
    <row r="380" spans="1:6" x14ac:dyDescent="0.2">
      <c r="A380" s="1">
        <f ca="1">IFERROR(__xludf.DUMMYFUNCTION("""COMPUTED_VALUE"""),166)</f>
        <v>166</v>
      </c>
      <c r="B380" s="1" t="str">
        <f ca="1">IFERROR(__xludf.DUMMYFUNCTION("""COMPUTED_VALUE"""),"Phoebe Moore")</f>
        <v>Phoebe Moore</v>
      </c>
      <c r="C380" s="1" t="str">
        <f ca="1">IFERROR(__xludf.DUMMYFUNCTION("""COMPUTED_VALUE"""),"KUHAC")</f>
        <v>KUHAC</v>
      </c>
      <c r="D380" s="1">
        <f ca="1">IFERROR(__xludf.DUMMYFUNCTION("""COMPUTED_VALUE"""),30.88)</f>
        <v>30.88</v>
      </c>
      <c r="E380" s="1"/>
      <c r="F380" s="1"/>
    </row>
    <row r="381" spans="1:6" x14ac:dyDescent="0.2">
      <c r="A381" s="3" t="str">
        <f ca="1">IFERROR(__xludf.DUMMYFUNCTION("""COMPUTED_VALUE"""),"U14 Girls Shot Put (2.72KG)")</f>
        <v>U14 Girls Shot Put (2.72KG)</v>
      </c>
      <c r="B381" s="3"/>
      <c r="C381" s="3"/>
      <c r="D381" s="3"/>
      <c r="E381" s="3"/>
      <c r="F381" s="1"/>
    </row>
    <row r="382" spans="1:6" x14ac:dyDescent="0.2">
      <c r="A382" s="1">
        <f ca="1">IFERROR(__xludf.DUMMYFUNCTION("""COMPUTED_VALUE"""),447)</f>
        <v>447</v>
      </c>
      <c r="B382" s="1" t="str">
        <f ca="1">IFERROR(__xludf.DUMMYFUNCTION("""COMPUTED_VALUE"""),"Harriet Tootell")</f>
        <v>Harriet Tootell</v>
      </c>
      <c r="C382" s="1" t="str">
        <f ca="1">IFERROR(__xludf.DUMMYFUNCTION("""COMPUTED_VALUE"""),"Mansfield")</f>
        <v>Mansfield</v>
      </c>
      <c r="D382" s="4">
        <f ca="1">IFERROR(__xludf.DUMMYFUNCTION("""COMPUTED_VALUE"""),9.41)</f>
        <v>9.41</v>
      </c>
      <c r="E382" s="1"/>
      <c r="F382" s="1"/>
    </row>
    <row r="383" spans="1:6" x14ac:dyDescent="0.2">
      <c r="A383" s="1">
        <f ca="1">IFERROR(__xludf.DUMMYFUNCTION("""COMPUTED_VALUE"""),539)</f>
        <v>539</v>
      </c>
      <c r="B383" s="1" t="str">
        <f ca="1">IFERROR(__xludf.DUMMYFUNCTION("""COMPUTED_VALUE"""),"Ava O'Driscoll")</f>
        <v>Ava O'Driscoll</v>
      </c>
      <c r="C383" s="1" t="str">
        <f ca="1">IFERROR(__xludf.DUMMYFUNCTION("""COMPUTED_VALUE"""),"Hallamshire")</f>
        <v>Hallamshire</v>
      </c>
      <c r="D383" s="4">
        <f ca="1">IFERROR(__xludf.DUMMYFUNCTION("""COMPUTED_VALUE"""),8.39)</f>
        <v>8.39</v>
      </c>
      <c r="E383" s="1"/>
      <c r="F383" s="1"/>
    </row>
    <row r="384" spans="1:6" x14ac:dyDescent="0.2">
      <c r="A384" s="1">
        <f ca="1">IFERROR(__xludf.DUMMYFUNCTION("""COMPUTED_VALUE"""),44)</f>
        <v>44</v>
      </c>
      <c r="B384" s="1" t="str">
        <f ca="1">IFERROR(__xludf.DUMMYFUNCTION("""COMPUTED_VALUE"""),"Ruby Arnold")</f>
        <v>Ruby Arnold</v>
      </c>
      <c r="C384" s="1" t="str">
        <f ca="1">IFERROR(__xludf.DUMMYFUNCTION("""COMPUTED_VALUE"""),"Derby")</f>
        <v>Derby</v>
      </c>
      <c r="D384" s="4">
        <f ca="1">IFERROR(__xludf.DUMMYFUNCTION("""COMPUTED_VALUE"""),11.49)</f>
        <v>11.49</v>
      </c>
      <c r="E384" s="1"/>
      <c r="F384" s="1"/>
    </row>
    <row r="385" spans="1:6" x14ac:dyDescent="0.2">
      <c r="A385" s="1">
        <f ca="1">IFERROR(__xludf.DUMMYFUNCTION("""COMPUTED_VALUE"""),152)</f>
        <v>152</v>
      </c>
      <c r="B385" s="1" t="str">
        <f ca="1">IFERROR(__xludf.DUMMYFUNCTION("""COMPUTED_VALUE"""),"Amber McInerney")</f>
        <v>Amber McInerney</v>
      </c>
      <c r="C385" s="1" t="str">
        <f ca="1">IFERROR(__xludf.DUMMYFUNCTION("""COMPUTED_VALUE"""),"KUHAC")</f>
        <v>KUHAC</v>
      </c>
      <c r="D385" s="4">
        <f ca="1">IFERROR(__xludf.DUMMYFUNCTION("""COMPUTED_VALUE"""),9.15)</f>
        <v>9.15</v>
      </c>
      <c r="E385" s="1"/>
      <c r="F385" s="1"/>
    </row>
    <row r="386" spans="1:6" x14ac:dyDescent="0.2">
      <c r="A386" s="1">
        <f ca="1">IFERROR(__xludf.DUMMYFUNCTION("""COMPUTED_VALUE"""),339)</f>
        <v>339</v>
      </c>
      <c r="B386" s="1" t="str">
        <f ca="1">IFERROR(__xludf.DUMMYFUNCTION("""COMPUTED_VALUE"""),"Tallulah Flitter")</f>
        <v>Tallulah Flitter</v>
      </c>
      <c r="C386" s="1" t="str">
        <f ca="1">IFERROR(__xludf.DUMMYFUNCTION("""COMPUTED_VALUE"""),"Louth AC")</f>
        <v>Louth AC</v>
      </c>
      <c r="D386" s="4">
        <f ca="1">IFERROR(__xludf.DUMMYFUNCTION("""COMPUTED_VALUE"""),8.44)</f>
        <v>8.44</v>
      </c>
      <c r="E386" s="1"/>
      <c r="F386" s="1"/>
    </row>
    <row r="387" spans="1:6" x14ac:dyDescent="0.2">
      <c r="A387" s="1">
        <f ca="1">IFERROR(__xludf.DUMMYFUNCTION("""COMPUTED_VALUE"""),443)</f>
        <v>443</v>
      </c>
      <c r="B387" s="1" t="str">
        <f ca="1">IFERROR(__xludf.DUMMYFUNCTION("""COMPUTED_VALUE"""),"Scarlett Stoddart")</f>
        <v>Scarlett Stoddart</v>
      </c>
      <c r="C387" s="1" t="str">
        <f ca="1">IFERROR(__xludf.DUMMYFUNCTION("""COMPUTED_VALUE"""),"Newark")</f>
        <v>Newark</v>
      </c>
      <c r="D387" s="4">
        <f ca="1">IFERROR(__xludf.DUMMYFUNCTION("""COMPUTED_VALUE"""),7.73)</f>
        <v>7.73</v>
      </c>
      <c r="E387" s="1"/>
      <c r="F387" s="1"/>
    </row>
    <row r="388" spans="1:6" x14ac:dyDescent="0.2">
      <c r="A388" s="1">
        <f ca="1">IFERROR(__xludf.DUMMYFUNCTION("""COMPUTED_VALUE"""),540)</f>
        <v>540</v>
      </c>
      <c r="B388" s="1" t="str">
        <f ca="1">IFERROR(__xludf.DUMMYFUNCTION("""COMPUTED_VALUE"""),"Leticia De Jong")</f>
        <v>Leticia De Jong</v>
      </c>
      <c r="C388" s="1" t="str">
        <f ca="1">IFERROR(__xludf.DUMMYFUNCTION("""COMPUTED_VALUE"""),"Hallamshire")</f>
        <v>Hallamshire</v>
      </c>
      <c r="D388" s="4">
        <f ca="1">IFERROR(__xludf.DUMMYFUNCTION("""COMPUTED_VALUE"""),7.84)</f>
        <v>7.84</v>
      </c>
      <c r="E388" s="1"/>
      <c r="F388" s="1"/>
    </row>
    <row r="389" spans="1:6" x14ac:dyDescent="0.2">
      <c r="A389" s="1">
        <f ca="1">IFERROR(__xludf.DUMMYFUNCTION("""COMPUTED_VALUE"""),45)</f>
        <v>45</v>
      </c>
      <c r="B389" s="1" t="str">
        <f ca="1">IFERROR(__xludf.DUMMYFUNCTION("""COMPUTED_VALUE"""),"Kyrie Turner")</f>
        <v>Kyrie Turner</v>
      </c>
      <c r="C389" s="1" t="str">
        <f ca="1">IFERROR(__xludf.DUMMYFUNCTION("""COMPUTED_VALUE"""),"Chesterfield")</f>
        <v>Chesterfield</v>
      </c>
      <c r="D389" s="4">
        <f ca="1">IFERROR(__xludf.DUMMYFUNCTION("""COMPUTED_VALUE"""),11.1)</f>
        <v>11.1</v>
      </c>
      <c r="E389" s="1"/>
      <c r="F389" s="1"/>
    </row>
    <row r="390" spans="1:6" x14ac:dyDescent="0.2">
      <c r="A390" s="1">
        <f ca="1">IFERROR(__xludf.DUMMYFUNCTION("""COMPUTED_VALUE"""),153)</f>
        <v>153</v>
      </c>
      <c r="B390" s="1" t="str">
        <f ca="1">IFERROR(__xludf.DUMMYFUNCTION("""COMPUTED_VALUE"""),"Taryn Ollett")</f>
        <v>Taryn Ollett</v>
      </c>
      <c r="C390" s="1" t="str">
        <f ca="1">IFERROR(__xludf.DUMMYFUNCTION("""COMPUTED_VALUE"""),"KUHAC")</f>
        <v>KUHAC</v>
      </c>
      <c r="D390" s="4">
        <f ca="1">IFERROR(__xludf.DUMMYFUNCTION("""COMPUTED_VALUE"""),8.68)</f>
        <v>8.68</v>
      </c>
      <c r="E390" s="1"/>
      <c r="F390" s="1"/>
    </row>
    <row r="391" spans="1:6" x14ac:dyDescent="0.2">
      <c r="A391" s="1">
        <f ca="1">IFERROR(__xludf.DUMMYFUNCTION("""COMPUTED_VALUE"""),340)</f>
        <v>340</v>
      </c>
      <c r="B391" s="1" t="str">
        <f ca="1">IFERROR(__xludf.DUMMYFUNCTION("""COMPUTED_VALUE"""),"Harriet Ward")</f>
        <v>Harriet Ward</v>
      </c>
      <c r="C391" s="1" t="str">
        <f ca="1">IFERROR(__xludf.DUMMYFUNCTION("""COMPUTED_VALUE"""),"LWAC")</f>
        <v>LWAC</v>
      </c>
      <c r="D391" s="4">
        <f ca="1">IFERROR(__xludf.DUMMYFUNCTION("""COMPUTED_VALUE"""),4.95)</f>
        <v>4.95</v>
      </c>
      <c r="E391" s="1"/>
      <c r="F391" s="1"/>
    </row>
    <row r="392" spans="1:6" x14ac:dyDescent="0.2">
      <c r="A392" s="3" t="str">
        <f ca="1">IFERROR(__xludf.DUMMYFUNCTION("""COMPUTED_VALUE"""),"U12 Boys Long Jump")</f>
        <v>U12 Boys Long Jump</v>
      </c>
      <c r="B392" s="3"/>
      <c r="C392" s="3"/>
      <c r="D392" s="3"/>
      <c r="E392" s="3"/>
      <c r="F392" s="1"/>
    </row>
    <row r="393" spans="1:6" x14ac:dyDescent="0.2">
      <c r="A393" s="1">
        <f ca="1">IFERROR(__xludf.DUMMYFUNCTION("""COMPUTED_VALUE"""),503)</f>
        <v>503</v>
      </c>
      <c r="B393" s="1" t="str">
        <f ca="1">IFERROR(__xludf.DUMMYFUNCTION("""COMPUTED_VALUE"""),"Rory Mitchell")</f>
        <v>Rory Mitchell</v>
      </c>
      <c r="C393" s="1" t="str">
        <f ca="1">IFERROR(__xludf.DUMMYFUNCTION("""COMPUTED_VALUE"""),"Hallamshire")</f>
        <v>Hallamshire</v>
      </c>
      <c r="D393" s="4">
        <f ca="1">IFERROR(__xludf.DUMMYFUNCTION("""COMPUTED_VALUE"""),3.86)</f>
        <v>3.86</v>
      </c>
      <c r="E393" s="1"/>
      <c r="F393" s="1"/>
    </row>
    <row r="394" spans="1:6" x14ac:dyDescent="0.2">
      <c r="A394" s="1">
        <f ca="1">IFERROR(__xludf.DUMMYFUNCTION("""COMPUTED_VALUE"""),1)</f>
        <v>1</v>
      </c>
      <c r="B394" s="1" t="str">
        <f ca="1">IFERROR(__xludf.DUMMYFUNCTION("""COMPUTED_VALUE"""),"Reggie Taylor")</f>
        <v>Reggie Taylor</v>
      </c>
      <c r="C394" s="1" t="str">
        <f ca="1">IFERROR(__xludf.DUMMYFUNCTION("""COMPUTED_VALUE"""),"AVEAC")</f>
        <v>AVEAC</v>
      </c>
      <c r="D394" s="4">
        <f ca="1">IFERROR(__xludf.DUMMYFUNCTION("""COMPUTED_VALUE"""),4.4)</f>
        <v>4.4000000000000004</v>
      </c>
      <c r="E394" s="1"/>
      <c r="F394" s="1"/>
    </row>
    <row r="395" spans="1:6" x14ac:dyDescent="0.2">
      <c r="A395" s="1">
        <f ca="1">IFERROR(__xludf.DUMMYFUNCTION("""COMPUTED_VALUE"""),105)</f>
        <v>105</v>
      </c>
      <c r="B395" s="1" t="str">
        <f ca="1">IFERROR(__xludf.DUMMYFUNCTION("""COMPUTED_VALUE"""),"William Obiefuna")</f>
        <v>William Obiefuna</v>
      </c>
      <c r="C395" s="1" t="str">
        <f ca="1">IFERROR(__xludf.DUMMYFUNCTION("""COMPUTED_VALUE"""),"KUHAC")</f>
        <v>KUHAC</v>
      </c>
      <c r="D395" s="4">
        <f ca="1">IFERROR(__xludf.DUMMYFUNCTION("""COMPUTED_VALUE"""),4.58)</f>
        <v>4.58</v>
      </c>
      <c r="E395" s="1"/>
      <c r="F395" s="1"/>
    </row>
    <row r="396" spans="1:6" x14ac:dyDescent="0.2">
      <c r="A396" s="1">
        <f ca="1">IFERROR(__xludf.DUMMYFUNCTION("""COMPUTED_VALUE"""),300)</f>
        <v>300</v>
      </c>
      <c r="B396" s="1" t="str">
        <f ca="1">IFERROR(__xludf.DUMMYFUNCTION("""COMPUTED_VALUE"""),"Jacob Skelland")</f>
        <v>Jacob Skelland</v>
      </c>
      <c r="C396" s="1" t="str">
        <f ca="1">IFERROR(__xludf.DUMMYFUNCTION("""COMPUTED_VALUE"""),"LWAC")</f>
        <v>LWAC</v>
      </c>
      <c r="D396" s="4">
        <f ca="1">IFERROR(__xludf.DUMMYFUNCTION("""COMPUTED_VALUE"""),4.09)</f>
        <v>4.09</v>
      </c>
      <c r="E396" s="1"/>
      <c r="F396" s="1"/>
    </row>
    <row r="397" spans="1:6" x14ac:dyDescent="0.2">
      <c r="A397" s="1">
        <f ca="1">IFERROR(__xludf.DUMMYFUNCTION("""COMPUTED_VALUE"""),402)</f>
        <v>402</v>
      </c>
      <c r="B397" s="1" t="str">
        <f ca="1">IFERROR(__xludf.DUMMYFUNCTION("""COMPUTED_VALUE"""),"Tre Seamer")</f>
        <v>Tre Seamer</v>
      </c>
      <c r="C397" s="1" t="str">
        <f ca="1">IFERROR(__xludf.DUMMYFUNCTION("""COMPUTED_VALUE"""),"Notts")</f>
        <v>Notts</v>
      </c>
      <c r="D397" s="4">
        <f ca="1">IFERROR(__xludf.DUMMYFUNCTION("""COMPUTED_VALUE"""),4.35)</f>
        <v>4.3499999999999996</v>
      </c>
      <c r="E397" s="1"/>
      <c r="F397" s="1"/>
    </row>
    <row r="398" spans="1:6" x14ac:dyDescent="0.2">
      <c r="A398" s="1">
        <f ca="1">IFERROR(__xludf.DUMMYFUNCTION("""COMPUTED_VALUE"""),506)</f>
        <v>506</v>
      </c>
      <c r="B398" s="1" t="str">
        <f ca="1">IFERROR(__xludf.DUMMYFUNCTION("""COMPUTED_VALUE"""),"Thomas Hooley")</f>
        <v>Thomas Hooley</v>
      </c>
      <c r="C398" s="1" t="str">
        <f ca="1">IFERROR(__xludf.DUMMYFUNCTION("""COMPUTED_VALUE"""),"Hallamshire")</f>
        <v>Hallamshire</v>
      </c>
      <c r="D398" s="4">
        <f ca="1">IFERROR(__xludf.DUMMYFUNCTION("""COMPUTED_VALUE"""),3.79)</f>
        <v>3.79</v>
      </c>
      <c r="E398" s="1"/>
      <c r="F398" s="1"/>
    </row>
    <row r="399" spans="1:6" x14ac:dyDescent="0.2">
      <c r="A399" s="1">
        <f ca="1">IFERROR(__xludf.DUMMYFUNCTION("""COMPUTED_VALUE"""),4)</f>
        <v>4</v>
      </c>
      <c r="B399" s="1" t="str">
        <f ca="1">IFERROR(__xludf.DUMMYFUNCTION("""COMPUTED_VALUE"""),"Frankie Osborne")</f>
        <v>Frankie Osborne</v>
      </c>
      <c r="C399" s="1" t="str">
        <f ca="1">IFERROR(__xludf.DUMMYFUNCTION("""COMPUTED_VALUE"""),"High Peak")</f>
        <v>High Peak</v>
      </c>
      <c r="D399" s="4">
        <f ca="1">IFERROR(__xludf.DUMMYFUNCTION("""COMPUTED_VALUE"""),3.8)</f>
        <v>3.8</v>
      </c>
      <c r="E399" s="1"/>
      <c r="F399" s="1"/>
    </row>
    <row r="400" spans="1:6" x14ac:dyDescent="0.2">
      <c r="A400" s="1">
        <f ca="1">IFERROR(__xludf.DUMMYFUNCTION("""COMPUTED_VALUE"""),101)</f>
        <v>101</v>
      </c>
      <c r="B400" s="1" t="str">
        <f ca="1">IFERROR(__xludf.DUMMYFUNCTION("""COMPUTED_VALUE"""),"Jack Wood")</f>
        <v>Jack Wood</v>
      </c>
      <c r="C400" s="1" t="str">
        <f ca="1">IFERROR(__xludf.DUMMYFUNCTION("""COMPUTED_VALUE"""),"Barton")</f>
        <v>Barton</v>
      </c>
      <c r="D400" s="4">
        <f ca="1">IFERROR(__xludf.DUMMYFUNCTION("""COMPUTED_VALUE"""),3.62)</f>
        <v>3.62</v>
      </c>
      <c r="E400" s="1"/>
      <c r="F400" s="1"/>
    </row>
    <row r="401" spans="1:6" x14ac:dyDescent="0.2">
      <c r="A401" s="1">
        <f ca="1">IFERROR(__xludf.DUMMYFUNCTION("""COMPUTED_VALUE"""),301)</f>
        <v>301</v>
      </c>
      <c r="B401" s="1" t="str">
        <f ca="1">IFERROR(__xludf.DUMMYFUNCTION("""COMPUTED_VALUE"""),"Francesco Mussi")</f>
        <v>Francesco Mussi</v>
      </c>
      <c r="C401" s="1" t="str">
        <f ca="1">IFERROR(__xludf.DUMMYFUNCTION("""COMPUTED_VALUE"""),"LWAC")</f>
        <v>LWAC</v>
      </c>
      <c r="D401" s="4">
        <f ca="1">IFERROR(__xludf.DUMMYFUNCTION("""COMPUTED_VALUE"""),3.89)</f>
        <v>3.89</v>
      </c>
      <c r="E401" s="1"/>
      <c r="F401" s="1"/>
    </row>
    <row r="402" spans="1:6" x14ac:dyDescent="0.2">
      <c r="A402" s="1">
        <f ca="1">IFERROR(__xludf.DUMMYFUNCTION("""COMPUTED_VALUE"""),404)</f>
        <v>404</v>
      </c>
      <c r="B402" s="1" t="str">
        <f ca="1">IFERROR(__xludf.DUMMYFUNCTION("""COMPUTED_VALUE"""),"George North")</f>
        <v>George North</v>
      </c>
      <c r="C402" s="1" t="str">
        <f ca="1">IFERROR(__xludf.DUMMYFUNCTION("""COMPUTED_VALUE"""),"Worksop")</f>
        <v>Worksop</v>
      </c>
      <c r="D402" s="4">
        <f ca="1">IFERROR(__xludf.DUMMYFUNCTION("""COMPUTED_VALUE"""),4.14)</f>
        <v>4.1399999999999997</v>
      </c>
      <c r="E402" s="1"/>
      <c r="F402" s="1"/>
    </row>
    <row r="403" spans="1:6" x14ac:dyDescent="0.2">
      <c r="A403" s="3" t="str">
        <f ca="1">IFERROR(__xludf.DUMMYFUNCTION("""COMPUTED_VALUE"""),"U14 Boys Javelin (500g)")</f>
        <v>U14 Boys Javelin (500g)</v>
      </c>
      <c r="B403" s="3"/>
      <c r="C403" s="3"/>
      <c r="D403" s="3"/>
      <c r="E403" s="3"/>
      <c r="F403" s="1"/>
    </row>
    <row r="404" spans="1:6" x14ac:dyDescent="0.2">
      <c r="A404" s="1">
        <f ca="1">IFERROR(__xludf.DUMMYFUNCTION("""COMPUTED_VALUE"""),15)</f>
        <v>15</v>
      </c>
      <c r="B404" s="1" t="str">
        <f ca="1">IFERROR(__xludf.DUMMYFUNCTION("""COMPUTED_VALUE"""),"Luka Cato")</f>
        <v>Luka Cato</v>
      </c>
      <c r="C404" s="1" t="str">
        <f ca="1">IFERROR(__xludf.DUMMYFUNCTION("""COMPUTED_VALUE"""),"Burton")</f>
        <v>Burton</v>
      </c>
      <c r="D404" s="4">
        <f ca="1">IFERROR(__xludf.DUMMYFUNCTION("""COMPUTED_VALUE"""),34.9)</f>
        <v>34.9</v>
      </c>
      <c r="E404" s="1"/>
      <c r="F404" s="1"/>
    </row>
    <row r="405" spans="1:6" x14ac:dyDescent="0.2">
      <c r="A405" s="1">
        <f ca="1">IFERROR(__xludf.DUMMYFUNCTION("""COMPUTED_VALUE"""),120)</f>
        <v>120</v>
      </c>
      <c r="B405" s="1" t="str">
        <f ca="1">IFERROR(__xludf.DUMMYFUNCTION("""COMPUTED_VALUE"""),"Arthur Shanahan")</f>
        <v>Arthur Shanahan</v>
      </c>
      <c r="C405" s="1" t="str">
        <f ca="1">IFERROR(__xludf.DUMMYFUNCTION("""COMPUTED_VALUE"""),"KUHAC")</f>
        <v>KUHAC</v>
      </c>
      <c r="D405" s="4">
        <f ca="1">IFERROR(__xludf.DUMMYFUNCTION("""COMPUTED_VALUE"""),43.34)</f>
        <v>43.34</v>
      </c>
      <c r="E405" s="1"/>
      <c r="F405" s="1"/>
    </row>
    <row r="406" spans="1:6" x14ac:dyDescent="0.2">
      <c r="A406" s="1">
        <f ca="1">IFERROR(__xludf.DUMMYFUNCTION("""COMPUTED_VALUE"""),315)</f>
        <v>315</v>
      </c>
      <c r="B406" s="1" t="str">
        <f ca="1">IFERROR(__xludf.DUMMYFUNCTION("""COMPUTED_VALUE"""),"Edward Lindsey")</f>
        <v>Edward Lindsey</v>
      </c>
      <c r="C406" s="1" t="str">
        <f ca="1">IFERROR(__xludf.DUMMYFUNCTION("""COMPUTED_VALUE"""),"LWAC")</f>
        <v>LWAC</v>
      </c>
      <c r="D406" s="4">
        <f ca="1">IFERROR(__xludf.DUMMYFUNCTION("""COMPUTED_VALUE"""),16.65)</f>
        <v>16.649999999999999</v>
      </c>
      <c r="E406" s="1"/>
      <c r="F406" s="1"/>
    </row>
    <row r="407" spans="1:6" x14ac:dyDescent="0.2">
      <c r="A407" s="1">
        <f ca="1">IFERROR(__xludf.DUMMYFUNCTION("""COMPUTED_VALUE"""),416)</f>
        <v>416</v>
      </c>
      <c r="B407" s="1" t="str">
        <f ca="1">IFERROR(__xludf.DUMMYFUNCTION("""COMPUTED_VALUE"""),"Henry Noad")</f>
        <v>Henry Noad</v>
      </c>
      <c r="C407" s="1" t="str">
        <f ca="1">IFERROR(__xludf.DUMMYFUNCTION("""COMPUTED_VALUE"""),"Rushcliffe")</f>
        <v>Rushcliffe</v>
      </c>
      <c r="D407" s="4">
        <f ca="1">IFERROR(__xludf.DUMMYFUNCTION("""COMPUTED_VALUE"""),36.66)</f>
        <v>36.659999999999997</v>
      </c>
      <c r="E407" s="1"/>
      <c r="F407" s="1"/>
    </row>
    <row r="408" spans="1:6" x14ac:dyDescent="0.2">
      <c r="A408" s="1">
        <f ca="1">IFERROR(__xludf.DUMMYFUNCTION("""COMPUTED_VALUE"""),516)</f>
        <v>516</v>
      </c>
      <c r="B408" s="1" t="str">
        <f ca="1">IFERROR(__xludf.DUMMYFUNCTION("""COMPUTED_VALUE"""),"Harry Tomlinson")</f>
        <v>Harry Tomlinson</v>
      </c>
      <c r="C408" s="1" t="str">
        <f ca="1">IFERROR(__xludf.DUMMYFUNCTION("""COMPUTED_VALUE"""),"Doncaster")</f>
        <v>Doncaster</v>
      </c>
      <c r="D408" s="4">
        <f ca="1">IFERROR(__xludf.DUMMYFUNCTION("""COMPUTED_VALUE"""),27.57)</f>
        <v>27.57</v>
      </c>
      <c r="E408" s="1"/>
      <c r="F408" s="1"/>
    </row>
    <row r="409" spans="1:6" x14ac:dyDescent="0.2">
      <c r="A409" s="1">
        <f ca="1">IFERROR(__xludf.DUMMYFUNCTION("""COMPUTED_VALUE"""),119)</f>
        <v>119</v>
      </c>
      <c r="B409" s="1" t="str">
        <f ca="1">IFERROR(__xludf.DUMMYFUNCTION("""COMPUTED_VALUE"""),"Oscar Davey")</f>
        <v>Oscar Davey</v>
      </c>
      <c r="C409" s="1" t="str">
        <f ca="1">IFERROR(__xludf.DUMMYFUNCTION("""COMPUTED_VALUE"""),"Grimsby")</f>
        <v>Grimsby</v>
      </c>
      <c r="D409" s="4">
        <f ca="1">IFERROR(__xludf.DUMMYFUNCTION("""COMPUTED_VALUE"""),36.08)</f>
        <v>36.08</v>
      </c>
      <c r="E409" s="1"/>
      <c r="F409" s="1"/>
    </row>
    <row r="410" spans="1:6" x14ac:dyDescent="0.2">
      <c r="A410" s="1">
        <f ca="1">IFERROR(__xludf.DUMMYFUNCTION("""COMPUTED_VALUE"""),317)</f>
        <v>317</v>
      </c>
      <c r="B410" s="1" t="str">
        <f ca="1">IFERROR(__xludf.DUMMYFUNCTION("""COMPUTED_VALUE"""),"Maxx Chapman")</f>
        <v>Maxx Chapman</v>
      </c>
      <c r="C410" s="1" t="str">
        <f ca="1">IFERROR(__xludf.DUMMYFUNCTION("""COMPUTED_VALUE"""),"LWAC")</f>
        <v>LWAC</v>
      </c>
      <c r="D410" s="4">
        <f ca="1">IFERROR(__xludf.DUMMYFUNCTION("""COMPUTED_VALUE"""),16.88)</f>
        <v>16.88</v>
      </c>
      <c r="E410" s="1"/>
      <c r="F410" s="1"/>
    </row>
    <row r="411" spans="1:6" x14ac:dyDescent="0.2">
      <c r="A411" s="1">
        <f ca="1">IFERROR(__xludf.DUMMYFUNCTION("""COMPUTED_VALUE"""),417)</f>
        <v>417</v>
      </c>
      <c r="B411" s="1" t="str">
        <f ca="1">IFERROR(__xludf.DUMMYFUNCTION("""COMPUTED_VALUE"""),"Samuel Raine")</f>
        <v>Samuel Raine</v>
      </c>
      <c r="C411" s="1" t="str">
        <f ca="1">IFERROR(__xludf.DUMMYFUNCTION("""COMPUTED_VALUE"""),"Newark")</f>
        <v>Newark</v>
      </c>
      <c r="D411" s="4">
        <f ca="1">IFERROR(__xludf.DUMMYFUNCTION("""COMPUTED_VALUE"""),29.69)</f>
        <v>29.69</v>
      </c>
      <c r="E411" s="1"/>
      <c r="F411" s="1"/>
    </row>
    <row r="412" spans="1:6" x14ac:dyDescent="0.2">
      <c r="A412" s="1">
        <f ca="1">IFERROR(__xludf.DUMMYFUNCTION("""COMPUTED_VALUE"""),515)</f>
        <v>515</v>
      </c>
      <c r="B412" s="1" t="str">
        <f ca="1">IFERROR(__xludf.DUMMYFUNCTION("""COMPUTED_VALUE"""),"Daniel Anderson")</f>
        <v>Daniel Anderson</v>
      </c>
      <c r="C412" s="1" t="str">
        <f ca="1">IFERROR(__xludf.DUMMYFUNCTION("""COMPUTED_VALUE"""),"City of Sheffield")</f>
        <v>City of Sheffield</v>
      </c>
      <c r="D412" s="4">
        <f ca="1">IFERROR(__xludf.DUMMYFUNCTION("""COMPUTED_VALUE"""),19.48)</f>
        <v>19.48</v>
      </c>
      <c r="E412" s="1"/>
      <c r="F412" s="1"/>
    </row>
    <row r="413" spans="1:6" x14ac:dyDescent="0.2">
      <c r="A413" s="3" t="str">
        <f ca="1">IFERROR(__xludf.DUMMYFUNCTION("""COMPUTED_VALUE"""),"U16 Boys High Jump")</f>
        <v>U16 Boys High Jump</v>
      </c>
      <c r="B413" s="3"/>
      <c r="C413" s="3"/>
      <c r="D413" s="3"/>
      <c r="E413" s="7" t="s">
        <v>4</v>
      </c>
      <c r="F413" s="1"/>
    </row>
    <row r="414" spans="1:6" x14ac:dyDescent="0.2">
      <c r="A414" s="1">
        <f ca="1">IFERROR(__xludf.DUMMYFUNCTION("""COMPUTED_VALUE"""),24)</f>
        <v>24</v>
      </c>
      <c r="B414" s="1" t="str">
        <f ca="1">IFERROR(__xludf.DUMMYFUNCTION("""COMPUTED_VALUE"""),"Oscar Fuller")</f>
        <v>Oscar Fuller</v>
      </c>
      <c r="C414" s="1" t="str">
        <f ca="1">IFERROR(__xludf.DUMMYFUNCTION("""COMPUTED_VALUE"""),"Derby")</f>
        <v>Derby</v>
      </c>
      <c r="D414" s="4">
        <f ca="1">IFERROR(__xludf.DUMMYFUNCTION("""COMPUTED_VALUE"""),1.65)</f>
        <v>1.65</v>
      </c>
      <c r="E414" s="1">
        <v>1</v>
      </c>
      <c r="F414" s="1"/>
    </row>
    <row r="415" spans="1:6" x14ac:dyDescent="0.2">
      <c r="A415" s="1">
        <f ca="1">IFERROR(__xludf.DUMMYFUNCTION("""COMPUTED_VALUE"""),131)</f>
        <v>131</v>
      </c>
      <c r="B415" s="1" t="str">
        <f ca="1">IFERROR(__xludf.DUMMYFUNCTION("""COMPUTED_VALUE"""),"Finley Barker")</f>
        <v>Finley Barker</v>
      </c>
      <c r="C415" s="1" t="str">
        <f ca="1">IFERROR(__xludf.DUMMYFUNCTION("""COMPUTED_VALUE"""),"KUHAC")</f>
        <v>KUHAC</v>
      </c>
      <c r="D415" s="4">
        <f ca="1">IFERROR(__xludf.DUMMYFUNCTION("""COMPUTED_VALUE"""),1.6)</f>
        <v>1.6</v>
      </c>
      <c r="E415" s="1">
        <v>3</v>
      </c>
      <c r="F415" s="1"/>
    </row>
    <row r="416" spans="1:6" x14ac:dyDescent="0.2">
      <c r="A416" s="1">
        <f ca="1">IFERROR(__xludf.DUMMYFUNCTION("""COMPUTED_VALUE"""),323)</f>
        <v>323</v>
      </c>
      <c r="B416" s="1" t="str">
        <f ca="1">IFERROR(__xludf.DUMMYFUNCTION("""COMPUTED_VALUE"""),"Bailey Smith")</f>
        <v>Bailey Smith</v>
      </c>
      <c r="C416" s="1" t="str">
        <f ca="1">IFERROR(__xludf.DUMMYFUNCTION("""COMPUTED_VALUE"""),"Grantham AC")</f>
        <v>Grantham AC</v>
      </c>
      <c r="D416" s="4">
        <f ca="1">IFERROR(__xludf.DUMMYFUNCTION("""COMPUTED_VALUE"""),1.5)</f>
        <v>1.5</v>
      </c>
      <c r="E416" s="1">
        <v>6</v>
      </c>
      <c r="F416" s="1"/>
    </row>
    <row r="417" spans="1:6" x14ac:dyDescent="0.2">
      <c r="A417" s="1">
        <f ca="1">IFERROR(__xludf.DUMMYFUNCTION("""COMPUTED_VALUE"""),424)</f>
        <v>424</v>
      </c>
      <c r="B417" s="1" t="str">
        <f ca="1">IFERROR(__xludf.DUMMYFUNCTION("""COMPUTED_VALUE"""),"Xavier Jarosiewicz")</f>
        <v>Xavier Jarosiewicz</v>
      </c>
      <c r="C417" s="1" t="str">
        <f ca="1">IFERROR(__xludf.DUMMYFUNCTION("""COMPUTED_VALUE"""),"Notts")</f>
        <v>Notts</v>
      </c>
      <c r="D417" s="4">
        <f ca="1">IFERROR(__xludf.DUMMYFUNCTION("""COMPUTED_VALUE"""),1.4)</f>
        <v>1.4</v>
      </c>
      <c r="E417" s="1">
        <v>9</v>
      </c>
      <c r="F417" s="1"/>
    </row>
    <row r="418" spans="1:6" x14ac:dyDescent="0.2">
      <c r="A418" s="1">
        <f ca="1">IFERROR(__xludf.DUMMYFUNCTION("""COMPUTED_VALUE"""),523)</f>
        <v>523</v>
      </c>
      <c r="B418" s="1" t="str">
        <f ca="1">IFERROR(__xludf.DUMMYFUNCTION("""COMPUTED_VALUE"""),"Jacob Ellis Baulk")</f>
        <v>Jacob Ellis Baulk</v>
      </c>
      <c r="C418" s="1" t="str">
        <f ca="1">IFERROR(__xludf.DUMMYFUNCTION("""COMPUTED_VALUE"""),"Doncaster")</f>
        <v>Doncaster</v>
      </c>
      <c r="D418" s="4">
        <f ca="1">IFERROR(__xludf.DUMMYFUNCTION("""COMPUTED_VALUE"""),1.5)</f>
        <v>1.5</v>
      </c>
      <c r="E418" s="1">
        <v>7</v>
      </c>
      <c r="F418" s="1"/>
    </row>
    <row r="419" spans="1:6" x14ac:dyDescent="0.2">
      <c r="A419" s="1">
        <f ca="1">IFERROR(__xludf.DUMMYFUNCTION("""COMPUTED_VALUE"""),25)</f>
        <v>25</v>
      </c>
      <c r="B419" s="1" t="str">
        <f ca="1">IFERROR(__xludf.DUMMYFUNCTION("""COMPUTED_VALUE"""),"Joseph Falivena")</f>
        <v>Joseph Falivena</v>
      </c>
      <c r="C419" s="1" t="str">
        <f ca="1">IFERROR(__xludf.DUMMYFUNCTION("""COMPUTED_VALUE"""),"AVEAC")</f>
        <v>AVEAC</v>
      </c>
      <c r="D419" s="4">
        <f ca="1">IFERROR(__xludf.DUMMYFUNCTION("""COMPUTED_VALUE"""),1.6)</f>
        <v>1.6</v>
      </c>
      <c r="E419" s="1">
        <v>5</v>
      </c>
      <c r="F419" s="1"/>
    </row>
    <row r="420" spans="1:6" x14ac:dyDescent="0.2">
      <c r="A420" s="1">
        <f ca="1">IFERROR(__xludf.DUMMYFUNCTION("""COMPUTED_VALUE"""),128)</f>
        <v>128</v>
      </c>
      <c r="B420" s="1" t="str">
        <f ca="1">IFERROR(__xludf.DUMMYFUNCTION("""COMPUTED_VALUE"""),"Jake Briggs")</f>
        <v>Jake Briggs</v>
      </c>
      <c r="C420" s="1" t="str">
        <f ca="1">IFERROR(__xludf.DUMMYFUNCTION("""COMPUTED_VALUE"""),"KUHAC")</f>
        <v>KUHAC</v>
      </c>
      <c r="D420" s="4">
        <f ca="1">IFERROR(__xludf.DUMMYFUNCTION("""COMPUTED_VALUE"""),1.65)</f>
        <v>1.65</v>
      </c>
      <c r="E420" s="1">
        <v>2</v>
      </c>
      <c r="F420" s="1"/>
    </row>
    <row r="421" spans="1:6" x14ac:dyDescent="0.2">
      <c r="A421" s="1">
        <f ca="1">IFERROR(__xludf.DUMMYFUNCTION("""COMPUTED_VALUE"""),324)</f>
        <v>324</v>
      </c>
      <c r="B421" s="1" t="str">
        <f ca="1">IFERROR(__xludf.DUMMYFUNCTION("""COMPUTED_VALUE"""),"Isaac Gurnell")</f>
        <v>Isaac Gurnell</v>
      </c>
      <c r="C421" s="1" t="str">
        <f ca="1">IFERROR(__xludf.DUMMYFUNCTION("""COMPUTED_VALUE"""),"LWAC")</f>
        <v>LWAC</v>
      </c>
      <c r="D421" s="4">
        <f ca="1">IFERROR(__xludf.DUMMYFUNCTION("""COMPUTED_VALUE"""),1.6)</f>
        <v>1.6</v>
      </c>
      <c r="E421" s="1">
        <v>4</v>
      </c>
      <c r="F421" s="1"/>
    </row>
    <row r="422" spans="1:6" x14ac:dyDescent="0.2">
      <c r="A422" s="1">
        <f ca="1">IFERROR(__xludf.DUMMYFUNCTION("""COMPUTED_VALUE"""),518)</f>
        <v>518</v>
      </c>
      <c r="B422" s="1" t="str">
        <f ca="1">IFERROR(__xludf.DUMMYFUNCTION("""COMPUTED_VALUE"""),"Thomas Clark")</f>
        <v>Thomas Clark</v>
      </c>
      <c r="C422" s="1" t="str">
        <f ca="1">IFERROR(__xludf.DUMMYFUNCTION("""COMPUTED_VALUE"""),"Barnsley")</f>
        <v>Barnsley</v>
      </c>
      <c r="D422" s="4">
        <f ca="1">IFERROR(__xludf.DUMMYFUNCTION("""COMPUTED_VALUE"""),1.5)</f>
        <v>1.5</v>
      </c>
      <c r="E422" s="1">
        <v>8</v>
      </c>
      <c r="F422" s="1"/>
    </row>
    <row r="423" spans="1:6" x14ac:dyDescent="0.2">
      <c r="A423" s="3" t="str">
        <f ca="1">IFERROR(__xludf.DUMMYFUNCTION("""COMPUTED_VALUE"""),"U16 Girls Long Jump")</f>
        <v>U16 Girls Long Jump</v>
      </c>
      <c r="B423" s="3"/>
      <c r="C423" s="3"/>
      <c r="D423" s="3"/>
      <c r="E423" s="3"/>
      <c r="F423" s="1"/>
    </row>
    <row r="424" spans="1:6" x14ac:dyDescent="0.2">
      <c r="A424" s="1">
        <f ca="1">IFERROR(__xludf.DUMMYFUNCTION("""COMPUTED_VALUE"""),49)</f>
        <v>49</v>
      </c>
      <c r="B424" s="1" t="str">
        <f ca="1">IFERROR(__xludf.DUMMYFUNCTION("""COMPUTED_VALUE"""),"Lottie Mole")</f>
        <v>Lottie Mole</v>
      </c>
      <c r="C424" s="1" t="str">
        <f ca="1">IFERROR(__xludf.DUMMYFUNCTION("""COMPUTED_VALUE"""),"Chesterfield")</f>
        <v>Chesterfield</v>
      </c>
      <c r="D424" s="4">
        <f ca="1">IFERROR(__xludf.DUMMYFUNCTION("""COMPUTED_VALUE"""),5.12)</f>
        <v>5.12</v>
      </c>
      <c r="E424" s="1"/>
      <c r="F424" s="1"/>
    </row>
    <row r="425" spans="1:6" x14ac:dyDescent="0.2">
      <c r="A425" s="1">
        <f ca="1">IFERROR(__xludf.DUMMYFUNCTION("""COMPUTED_VALUE"""),161)</f>
        <v>161</v>
      </c>
      <c r="B425" s="1" t="str">
        <f ca="1">IFERROR(__xludf.DUMMYFUNCTION("""COMPUTED_VALUE"""),"Lily Cowling-Gaffney")</f>
        <v>Lily Cowling-Gaffney</v>
      </c>
      <c r="C425" s="1" t="str">
        <f ca="1">IFERROR(__xludf.DUMMYFUNCTION("""COMPUTED_VALUE"""),"Scunthorpe")</f>
        <v>Scunthorpe</v>
      </c>
      <c r="D425" s="4">
        <f ca="1">IFERROR(__xludf.DUMMYFUNCTION("""COMPUTED_VALUE"""),4.6)</f>
        <v>4.5999999999999996</v>
      </c>
      <c r="E425" s="1"/>
      <c r="F425" s="1"/>
    </row>
    <row r="426" spans="1:6" x14ac:dyDescent="0.2">
      <c r="A426" s="1">
        <f ca="1">IFERROR(__xludf.DUMMYFUNCTION("""COMPUTED_VALUE"""),342)</f>
        <v>342</v>
      </c>
      <c r="B426" s="1" t="str">
        <f ca="1">IFERROR(__xludf.DUMMYFUNCTION("""COMPUTED_VALUE"""),"Darcey Wood")</f>
        <v>Darcey Wood</v>
      </c>
      <c r="C426" s="1" t="str">
        <f ca="1">IFERROR(__xludf.DUMMYFUNCTION("""COMPUTED_VALUE"""),"Grantham AC")</f>
        <v>Grantham AC</v>
      </c>
      <c r="D426" s="4">
        <f ca="1">IFERROR(__xludf.DUMMYFUNCTION("""COMPUTED_VALUE"""),4.57)</f>
        <v>4.57</v>
      </c>
      <c r="E426" s="1"/>
      <c r="F426" s="1"/>
    </row>
    <row r="427" spans="1:6" x14ac:dyDescent="0.2">
      <c r="A427" s="1">
        <f ca="1">IFERROR(__xludf.DUMMYFUNCTION("""COMPUTED_VALUE"""),458)</f>
        <v>458</v>
      </c>
      <c r="B427" s="1" t="str">
        <f ca="1">IFERROR(__xludf.DUMMYFUNCTION("""COMPUTED_VALUE"""),"Darcey Croshaw")</f>
        <v>Darcey Croshaw</v>
      </c>
      <c r="C427" s="1" t="str">
        <f ca="1">IFERROR(__xludf.DUMMYFUNCTION("""COMPUTED_VALUE"""),"Worksop")</f>
        <v>Worksop</v>
      </c>
      <c r="D427" s="4">
        <f ca="1">IFERROR(__xludf.DUMMYFUNCTION("""COMPUTED_VALUE"""),4.74)</f>
        <v>4.74</v>
      </c>
      <c r="E427" s="1"/>
      <c r="F427" s="1"/>
    </row>
    <row r="428" spans="1:6" x14ac:dyDescent="0.2">
      <c r="A428" s="1">
        <f ca="1">IFERROR(__xludf.DUMMYFUNCTION("""COMPUTED_VALUE"""),549)</f>
        <v>549</v>
      </c>
      <c r="B428" s="1" t="str">
        <f ca="1">IFERROR(__xludf.DUMMYFUNCTION("""COMPUTED_VALUE"""),"Scarlett Ashford")</f>
        <v>Scarlett Ashford</v>
      </c>
      <c r="C428" s="1" t="str">
        <f ca="1">IFERROR(__xludf.DUMMYFUNCTION("""COMPUTED_VALUE"""),"City of Sheffield")</f>
        <v>City of Sheffield</v>
      </c>
      <c r="D428" s="4">
        <f ca="1">IFERROR(__xludf.DUMMYFUNCTION("""COMPUTED_VALUE"""),4.96)</f>
        <v>4.96</v>
      </c>
      <c r="E428" s="1"/>
      <c r="F428" s="1"/>
    </row>
    <row r="429" spans="1:6" x14ac:dyDescent="0.2">
      <c r="A429" s="1">
        <f ca="1">IFERROR(__xludf.DUMMYFUNCTION("""COMPUTED_VALUE"""),47)</f>
        <v>47</v>
      </c>
      <c r="B429" s="1" t="str">
        <f ca="1">IFERROR(__xludf.DUMMYFUNCTION("""COMPUTED_VALUE"""),"Antoniah Kinsiona")</f>
        <v>Antoniah Kinsiona</v>
      </c>
      <c r="C429" s="1" t="str">
        <f ca="1">IFERROR(__xludf.DUMMYFUNCTION("""COMPUTED_VALUE"""),"Chesterfield")</f>
        <v>Chesterfield</v>
      </c>
      <c r="D429" s="4">
        <f ca="1">IFERROR(__xludf.DUMMYFUNCTION("""COMPUTED_VALUE"""),4.83)</f>
        <v>4.83</v>
      </c>
      <c r="E429" s="1"/>
      <c r="F429" s="1"/>
    </row>
    <row r="430" spans="1:6" x14ac:dyDescent="0.2">
      <c r="A430" s="1">
        <f ca="1">IFERROR(__xludf.DUMMYFUNCTION("""COMPUTED_VALUE"""),162)</f>
        <v>162</v>
      </c>
      <c r="B430" s="1" t="str">
        <f ca="1">IFERROR(__xludf.DUMMYFUNCTION("""COMPUTED_VALUE"""),"Jessica Clarke")</f>
        <v>Jessica Clarke</v>
      </c>
      <c r="C430" s="1" t="str">
        <f ca="1">IFERROR(__xludf.DUMMYFUNCTION("""COMPUTED_VALUE"""),"Barton")</f>
        <v>Barton</v>
      </c>
      <c r="D430" s="4">
        <f ca="1">IFERROR(__xludf.DUMMYFUNCTION("""COMPUTED_VALUE"""),4.8)</f>
        <v>4.8</v>
      </c>
      <c r="E430" s="1"/>
      <c r="F430" s="1"/>
    </row>
    <row r="431" spans="1:6" x14ac:dyDescent="0.2">
      <c r="A431" s="1">
        <f ca="1">IFERROR(__xludf.DUMMYFUNCTION("""COMPUTED_VALUE"""),351)</f>
        <v>351</v>
      </c>
      <c r="B431" s="1" t="str">
        <f ca="1">IFERROR(__xludf.DUMMYFUNCTION("""COMPUTED_VALUE"""),"Alexandra Jenkinson")</f>
        <v>Alexandra Jenkinson</v>
      </c>
      <c r="C431" s="1" t="str">
        <f ca="1">IFERROR(__xludf.DUMMYFUNCTION("""COMPUTED_VALUE"""),"Louth AC")</f>
        <v>Louth AC</v>
      </c>
      <c r="D431" s="4">
        <f ca="1">IFERROR(__xludf.DUMMYFUNCTION("""COMPUTED_VALUE"""),4.11)</f>
        <v>4.1100000000000003</v>
      </c>
      <c r="E431" s="1"/>
      <c r="F431" s="1"/>
    </row>
    <row r="432" spans="1:6" x14ac:dyDescent="0.2">
      <c r="A432" s="1">
        <f ca="1">IFERROR(__xludf.DUMMYFUNCTION("""COMPUTED_VALUE"""),455)</f>
        <v>455</v>
      </c>
      <c r="B432" s="1" t="str">
        <f ca="1">IFERROR(__xludf.DUMMYFUNCTION("""COMPUTED_VALUE"""),"Summer Johnson")</f>
        <v>Summer Johnson</v>
      </c>
      <c r="C432" s="1" t="str">
        <f ca="1">IFERROR(__xludf.DUMMYFUNCTION("""COMPUTED_VALUE"""),"Worksop")</f>
        <v>Worksop</v>
      </c>
      <c r="D432" s="4">
        <f ca="1">IFERROR(__xludf.DUMMYFUNCTION("""COMPUTED_VALUE"""),4.55)</f>
        <v>4.55</v>
      </c>
      <c r="E432" s="1"/>
      <c r="F432" s="1"/>
    </row>
    <row r="433" spans="1:6" x14ac:dyDescent="0.2">
      <c r="A433" s="1">
        <f ca="1">IFERROR(__xludf.DUMMYFUNCTION("""COMPUTED_VALUE"""),550)</f>
        <v>550</v>
      </c>
      <c r="B433" s="1" t="str">
        <f ca="1">IFERROR(__xludf.DUMMYFUNCTION("""COMPUTED_VALUE"""),"Grace Raynor")</f>
        <v>Grace Raynor</v>
      </c>
      <c r="C433" s="1" t="str">
        <f ca="1">IFERROR(__xludf.DUMMYFUNCTION("""COMPUTED_VALUE"""),"Hallamshire")</f>
        <v>Hallamshire</v>
      </c>
      <c r="D433" s="4">
        <f ca="1">IFERROR(__xludf.DUMMYFUNCTION("""COMPUTED_VALUE"""),4.92)</f>
        <v>4.92</v>
      </c>
      <c r="E433" s="1"/>
      <c r="F433" s="1"/>
    </row>
    <row r="434" spans="1:6" x14ac:dyDescent="0.2">
      <c r="A434" s="3" t="str">
        <f ca="1">IFERROR(__xludf.DUMMYFUNCTION("""COMPUTED_VALUE"""),"U12 Girls Shot Put (2.72KG) ")</f>
        <v xml:space="preserve">U12 Girls Shot Put (2.72KG) </v>
      </c>
      <c r="B434" s="3"/>
      <c r="C434" s="3"/>
      <c r="D434" s="3"/>
      <c r="E434" s="3"/>
      <c r="F434" s="1"/>
    </row>
    <row r="435" spans="1:6" x14ac:dyDescent="0.2">
      <c r="A435" s="1">
        <f ca="1">IFERROR(__xludf.DUMMYFUNCTION("""COMPUTED_VALUE"""),138)</f>
        <v>138</v>
      </c>
      <c r="B435" s="1" t="str">
        <f ca="1">IFERROR(__xludf.DUMMYFUNCTION("""COMPUTED_VALUE"""),"Heidi Warden")</f>
        <v>Heidi Warden</v>
      </c>
      <c r="C435" s="1" t="str">
        <f ca="1">IFERROR(__xludf.DUMMYFUNCTION("""COMPUTED_VALUE"""),"KUHAC")</f>
        <v>KUHAC</v>
      </c>
      <c r="D435" s="4">
        <f ca="1">IFERROR(__xludf.DUMMYFUNCTION("""COMPUTED_VALUE"""),7.9)</f>
        <v>7.9</v>
      </c>
      <c r="E435" s="1"/>
      <c r="F435" s="1"/>
    </row>
    <row r="436" spans="1:6" x14ac:dyDescent="0.2">
      <c r="A436" s="1">
        <f ca="1">IFERROR(__xludf.DUMMYFUNCTION("""COMPUTED_VALUE"""),328)</f>
        <v>328</v>
      </c>
      <c r="B436" s="1" t="str">
        <f ca="1">IFERROR(__xludf.DUMMYFUNCTION("""COMPUTED_VALUE"""),"Rebecca Batista")</f>
        <v>Rebecca Batista</v>
      </c>
      <c r="C436" s="1" t="str">
        <f ca="1">IFERROR(__xludf.DUMMYFUNCTION("""COMPUTED_VALUE"""),"LWAC")</f>
        <v>LWAC</v>
      </c>
      <c r="D436" s="4">
        <f ca="1">IFERROR(__xludf.DUMMYFUNCTION("""COMPUTED_VALUE"""),5.93)</f>
        <v>5.93</v>
      </c>
      <c r="E436" s="1"/>
      <c r="F436" s="1"/>
    </row>
    <row r="437" spans="1:6" x14ac:dyDescent="0.2">
      <c r="A437" s="1">
        <f ca="1">IFERROR(__xludf.DUMMYFUNCTION("""COMPUTED_VALUE"""),437)</f>
        <v>437</v>
      </c>
      <c r="B437" s="1" t="str">
        <f ca="1">IFERROR(__xludf.DUMMYFUNCTION("""COMPUTED_VALUE"""),"Matilda Lord")</f>
        <v>Matilda Lord</v>
      </c>
      <c r="C437" s="1" t="str">
        <f ca="1">IFERROR(__xludf.DUMMYFUNCTION("""COMPUTED_VALUE"""),"Retford")</f>
        <v>Retford</v>
      </c>
      <c r="D437" s="4">
        <f ca="1">IFERROR(__xludf.DUMMYFUNCTION("""COMPUTED_VALUE"""),6.12)</f>
        <v>6.12</v>
      </c>
      <c r="E437" s="1"/>
      <c r="F437" s="1"/>
    </row>
    <row r="438" spans="1:6" x14ac:dyDescent="0.2">
      <c r="A438" s="1">
        <f ca="1">IFERROR(__xludf.DUMMYFUNCTION("""COMPUTED_VALUE"""),530)</f>
        <v>530</v>
      </c>
      <c r="B438" s="1" t="str">
        <f ca="1">IFERROR(__xludf.DUMMYFUNCTION("""COMPUTED_VALUE"""),"Emily Coote")</f>
        <v>Emily Coote</v>
      </c>
      <c r="C438" s="1" t="str">
        <f ca="1">IFERROR(__xludf.DUMMYFUNCTION("""COMPUTED_VALUE"""),"City of Sheffield")</f>
        <v>City of Sheffield</v>
      </c>
      <c r="D438" s="4">
        <f ca="1">IFERROR(__xludf.DUMMYFUNCTION("""COMPUTED_VALUE"""),7.67)</f>
        <v>7.67</v>
      </c>
      <c r="E438" s="1"/>
      <c r="F438" s="1"/>
    </row>
    <row r="439" spans="1:6" x14ac:dyDescent="0.2">
      <c r="A439" s="1">
        <f ca="1">IFERROR(__xludf.DUMMYFUNCTION("""COMPUTED_VALUE"""),33)</f>
        <v>33</v>
      </c>
      <c r="B439" s="1" t="str">
        <f ca="1">IFERROR(__xludf.DUMMYFUNCTION("""COMPUTED_VALUE"""),"Eva Price")</f>
        <v>Eva Price</v>
      </c>
      <c r="C439" s="1" t="str">
        <f ca="1">IFERROR(__xludf.DUMMYFUNCTION("""COMPUTED_VALUE"""),"AVEAC")</f>
        <v>AVEAC</v>
      </c>
      <c r="D439" s="4">
        <f ca="1">IFERROR(__xludf.DUMMYFUNCTION("""COMPUTED_VALUE"""),6.45)</f>
        <v>6.45</v>
      </c>
      <c r="E439" s="1"/>
      <c r="F439" s="1"/>
    </row>
    <row r="440" spans="1:6" x14ac:dyDescent="0.2">
      <c r="A440" s="1">
        <f ca="1">IFERROR(__xludf.DUMMYFUNCTION("""COMPUTED_VALUE"""),140)</f>
        <v>140</v>
      </c>
      <c r="B440" s="1" t="str">
        <f ca="1">IFERROR(__xludf.DUMMYFUNCTION("""COMPUTED_VALUE"""),"Lily Whitaker-Wright")</f>
        <v>Lily Whitaker-Wright</v>
      </c>
      <c r="C440" s="1" t="str">
        <f ca="1">IFERROR(__xludf.DUMMYFUNCTION("""COMPUTED_VALUE"""),"Vale of York")</f>
        <v>Vale of York</v>
      </c>
      <c r="D440" s="4">
        <f ca="1">IFERROR(__xludf.DUMMYFUNCTION("""COMPUTED_VALUE"""),7.69)</f>
        <v>7.69</v>
      </c>
      <c r="E440" s="1"/>
      <c r="F440" s="1"/>
    </row>
    <row r="441" spans="1:6" x14ac:dyDescent="0.2">
      <c r="A441" s="1">
        <f ca="1">IFERROR(__xludf.DUMMYFUNCTION("""COMPUTED_VALUE"""),331)</f>
        <v>331</v>
      </c>
      <c r="B441" s="1" t="str">
        <f ca="1">IFERROR(__xludf.DUMMYFUNCTION("""COMPUTED_VALUE"""),"Poppy Johnson")</f>
        <v>Poppy Johnson</v>
      </c>
      <c r="C441" s="1" t="str">
        <f ca="1">IFERROR(__xludf.DUMMYFUNCTION("""COMPUTED_VALUE"""),"LWAC")</f>
        <v>LWAC</v>
      </c>
      <c r="D441" s="4">
        <f ca="1">IFERROR(__xludf.DUMMYFUNCTION("""COMPUTED_VALUE"""),4.26)</f>
        <v>4.26</v>
      </c>
      <c r="E441" s="1"/>
      <c r="F441" s="1"/>
    </row>
    <row r="442" spans="1:6" x14ac:dyDescent="0.2">
      <c r="A442" s="1">
        <f ca="1">IFERROR(__xludf.DUMMYFUNCTION("""COMPUTED_VALUE"""),438)</f>
        <v>438</v>
      </c>
      <c r="B442" s="1" t="str">
        <f ca="1">IFERROR(__xludf.DUMMYFUNCTION("""COMPUTED_VALUE"""),"Madison Ball")</f>
        <v>Madison Ball</v>
      </c>
      <c r="C442" s="1" t="str">
        <f ca="1">IFERROR(__xludf.DUMMYFUNCTION("""COMPUTED_VALUE"""),"Retford")</f>
        <v>Retford</v>
      </c>
      <c r="D442" s="4">
        <f ca="1">IFERROR(__xludf.DUMMYFUNCTION("""COMPUTED_VALUE"""),6.25)</f>
        <v>6.25</v>
      </c>
      <c r="E442" s="1"/>
      <c r="F442" s="1"/>
    </row>
    <row r="443" spans="1:6" x14ac:dyDescent="0.2">
      <c r="A443" s="1">
        <f ca="1">IFERROR(__xludf.DUMMYFUNCTION("""COMPUTED_VALUE"""),532)</f>
        <v>532</v>
      </c>
      <c r="B443" s="1" t="str">
        <f ca="1">IFERROR(__xludf.DUMMYFUNCTION("""COMPUTED_VALUE"""),"Bethan Wade")</f>
        <v>Bethan Wade</v>
      </c>
      <c r="C443" s="1" t="str">
        <f ca="1">IFERROR(__xludf.DUMMYFUNCTION("""COMPUTED_VALUE"""),"City of Sheffield")</f>
        <v>City of Sheffield</v>
      </c>
      <c r="D443" s="4">
        <f ca="1">IFERROR(__xludf.DUMMYFUNCTION("""COMPUTED_VALUE"""),7.38)</f>
        <v>7.38</v>
      </c>
      <c r="E443" s="1"/>
      <c r="F443" s="1"/>
    </row>
    <row r="444" spans="1:6" x14ac:dyDescent="0.2">
      <c r="A444" s="1">
        <f ca="1">IFERROR(__xludf.DUMMYFUNCTION("""COMPUTED_VALUE"""),31)</f>
        <v>31</v>
      </c>
      <c r="B444" s="1" t="str">
        <f ca="1">IFERROR(__xludf.DUMMYFUNCTION("""COMPUTED_VALUE"""),"Florence Sibley")</f>
        <v>Florence Sibley</v>
      </c>
      <c r="C444" s="1" t="str">
        <f ca="1">IFERROR(__xludf.DUMMYFUNCTION("""COMPUTED_VALUE"""),"AVEAC")</f>
        <v>AVEAC</v>
      </c>
      <c r="D444" s="4">
        <v>4.9400000000000004</v>
      </c>
      <c r="E444" s="1"/>
      <c r="F444" s="1"/>
    </row>
    <row r="445" spans="1:6" x14ac:dyDescent="0.2">
      <c r="A445" s="3" t="str">
        <f ca="1">IFERROR(__xludf.DUMMYFUNCTION("""COMPUTED_VALUE"""),"U16 Boys Discus (1.25KG)")</f>
        <v>U16 Boys Discus (1.25KG)</v>
      </c>
      <c r="B445" s="3"/>
      <c r="C445" s="3"/>
      <c r="D445" s="3"/>
      <c r="E445" s="3"/>
      <c r="F445" s="1"/>
    </row>
    <row r="446" spans="1:6" x14ac:dyDescent="0.2">
      <c r="A446" s="1">
        <f ca="1">IFERROR(__xludf.DUMMYFUNCTION("""COMPUTED_VALUE"""),325)</f>
        <v>325</v>
      </c>
      <c r="B446" s="1" t="str">
        <f ca="1">IFERROR(__xludf.DUMMYFUNCTION("""COMPUTED_VALUE"""),"Damian McNally")</f>
        <v>Damian McNally</v>
      </c>
      <c r="C446" s="1" t="str">
        <f ca="1">IFERROR(__xludf.DUMMYFUNCTION("""COMPUTED_VALUE"""),"PANVAC")</f>
        <v>PANVAC</v>
      </c>
      <c r="D446" s="1">
        <f ca="1">IFERROR(__xludf.DUMMYFUNCTION("""COMPUTED_VALUE"""),33.77)</f>
        <v>33.770000000000003</v>
      </c>
      <c r="E446" s="1"/>
      <c r="F446" s="1"/>
    </row>
    <row r="447" spans="1:6" x14ac:dyDescent="0.2">
      <c r="A447" s="1">
        <f ca="1">IFERROR(__xludf.DUMMYFUNCTION("""COMPUTED_VALUE"""),429)</f>
        <v>429</v>
      </c>
      <c r="B447" s="1" t="str">
        <f ca="1">IFERROR(__xludf.DUMMYFUNCTION("""COMPUTED_VALUE"""),"Jax Thomas")</f>
        <v>Jax Thomas</v>
      </c>
      <c r="C447" s="1" t="str">
        <f ca="1">IFERROR(__xludf.DUMMYFUNCTION("""COMPUTED_VALUE"""),"Newark")</f>
        <v>Newark</v>
      </c>
      <c r="D447" s="1">
        <f ca="1">IFERROR(__xludf.DUMMYFUNCTION("""COMPUTED_VALUE"""),30.29)</f>
        <v>30.29</v>
      </c>
      <c r="E447" s="1"/>
      <c r="F447" s="1"/>
    </row>
    <row r="448" spans="1:6" x14ac:dyDescent="0.2">
      <c r="A448" s="1">
        <f ca="1">IFERROR(__xludf.DUMMYFUNCTION("""COMPUTED_VALUE"""),525)</f>
        <v>525</v>
      </c>
      <c r="B448" s="1" t="str">
        <f ca="1">IFERROR(__xludf.DUMMYFUNCTION("""COMPUTED_VALUE"""),"Mason Oxley")</f>
        <v>Mason Oxley</v>
      </c>
      <c r="C448" s="1" t="str">
        <f ca="1">IFERROR(__xludf.DUMMYFUNCTION("""COMPUTED_VALUE"""),"City of Sheffield")</f>
        <v>City of Sheffield</v>
      </c>
      <c r="D448" s="1">
        <f ca="1">IFERROR(__xludf.DUMMYFUNCTION("""COMPUTED_VALUE"""),37.29)</f>
        <v>37.29</v>
      </c>
      <c r="E448" s="1"/>
      <c r="F448" s="1"/>
    </row>
    <row r="449" spans="1:6" x14ac:dyDescent="0.2">
      <c r="A449" s="1">
        <f ca="1">IFERROR(__xludf.DUMMYFUNCTION("""COMPUTED_VALUE"""),26)</f>
        <v>26</v>
      </c>
      <c r="B449" s="1" t="str">
        <f ca="1">IFERROR(__xludf.DUMMYFUNCTION("""COMPUTED_VALUE"""),"Aaron Partington")</f>
        <v>Aaron Partington</v>
      </c>
      <c r="C449" s="1" t="str">
        <f ca="1">IFERROR(__xludf.DUMMYFUNCTION("""COMPUTED_VALUE"""),"High Peak")</f>
        <v>High Peak</v>
      </c>
      <c r="D449" s="1">
        <f ca="1">IFERROR(__xludf.DUMMYFUNCTION("""COMPUTED_VALUE"""),40.17)</f>
        <v>40.17</v>
      </c>
      <c r="E449" s="1"/>
      <c r="F449" s="1"/>
    </row>
    <row r="450" spans="1:6" x14ac:dyDescent="0.2">
      <c r="A450" s="1">
        <f ca="1">IFERROR(__xludf.DUMMYFUNCTION("""COMPUTED_VALUE"""),129)</f>
        <v>129</v>
      </c>
      <c r="B450" s="1" t="str">
        <f ca="1">IFERROR(__xludf.DUMMYFUNCTION("""COMPUTED_VALUE"""),"Oliver Hussain")</f>
        <v>Oliver Hussain</v>
      </c>
      <c r="C450" s="1" t="str">
        <f ca="1">IFERROR(__xludf.DUMMYFUNCTION("""COMPUTED_VALUE"""),"KUHAC")</f>
        <v>KUHAC</v>
      </c>
      <c r="D450" s="1">
        <f ca="1">IFERROR(__xludf.DUMMYFUNCTION("""COMPUTED_VALUE"""),34.78)</f>
        <v>34.78</v>
      </c>
      <c r="E450" s="1"/>
      <c r="F450" s="1"/>
    </row>
    <row r="451" spans="1:6" x14ac:dyDescent="0.2">
      <c r="A451" s="1">
        <f ca="1">IFERROR(__xludf.DUMMYFUNCTION("""COMPUTED_VALUE"""),326)</f>
        <v>326</v>
      </c>
      <c r="B451" s="1" t="str">
        <f ca="1">IFERROR(__xludf.DUMMYFUNCTION("""COMPUTED_VALUE"""),"Isaac Eccles")</f>
        <v>Isaac Eccles</v>
      </c>
      <c r="C451" s="1" t="str">
        <f ca="1">IFERROR(__xludf.DUMMYFUNCTION("""COMPUTED_VALUE"""),"LWAC")</f>
        <v>LWAC</v>
      </c>
      <c r="D451" s="1">
        <f ca="1">IFERROR(__xludf.DUMMYFUNCTION("""COMPUTED_VALUE"""),36.68)</f>
        <v>36.68</v>
      </c>
      <c r="E451" s="1"/>
      <c r="F451" s="1"/>
    </row>
    <row r="452" spans="1:6" x14ac:dyDescent="0.2">
      <c r="A452" s="1">
        <f ca="1">IFERROR(__xludf.DUMMYFUNCTION("""COMPUTED_VALUE"""),428)</f>
        <v>428</v>
      </c>
      <c r="B452" s="1" t="str">
        <f ca="1">IFERROR(__xludf.DUMMYFUNCTION("""COMPUTED_VALUE"""),"James Dobbs")</f>
        <v>James Dobbs</v>
      </c>
      <c r="C452" s="1" t="str">
        <f ca="1">IFERROR(__xludf.DUMMYFUNCTION("""COMPUTED_VALUE"""),"Retford")</f>
        <v>Retford</v>
      </c>
      <c r="D452" s="1">
        <f ca="1">IFERROR(__xludf.DUMMYFUNCTION("""COMPUTED_VALUE"""),30.78)</f>
        <v>30.78</v>
      </c>
      <c r="E452" s="1"/>
      <c r="F452" s="1"/>
    </row>
    <row r="453" spans="1:6" x14ac:dyDescent="0.2">
      <c r="A453" s="1">
        <f ca="1">IFERROR(__xludf.DUMMYFUNCTION("""COMPUTED_VALUE"""),524)</f>
        <v>524</v>
      </c>
      <c r="B453" s="1" t="str">
        <f ca="1">IFERROR(__xludf.DUMMYFUNCTION("""COMPUTED_VALUE"""),"Soren McSweeney")</f>
        <v>Soren McSweeney</v>
      </c>
      <c r="C453" s="1" t="str">
        <f ca="1">IFERROR(__xludf.DUMMYFUNCTION("""COMPUTED_VALUE"""),"City of Sheffield")</f>
        <v>City of Sheffield</v>
      </c>
      <c r="D453" s="1">
        <f ca="1">IFERROR(__xludf.DUMMYFUNCTION("""COMPUTED_VALUE"""),20.15)</f>
        <v>20.149999999999999</v>
      </c>
      <c r="E453" s="1"/>
      <c r="F453" s="1"/>
    </row>
    <row r="454" spans="1:6" x14ac:dyDescent="0.2">
      <c r="A454" s="1">
        <f ca="1">IFERROR(__xludf.DUMMYFUNCTION("""COMPUTED_VALUE"""),19)</f>
        <v>19</v>
      </c>
      <c r="B454" s="1" t="str">
        <f ca="1">IFERROR(__xludf.DUMMYFUNCTION("""COMPUTED_VALUE"""),"Milo Penn")</f>
        <v>Milo Penn</v>
      </c>
      <c r="C454" s="1" t="str">
        <f ca="1">IFERROR(__xludf.DUMMYFUNCTION("""COMPUTED_VALUE"""),"High Peak")</f>
        <v>High Peak</v>
      </c>
      <c r="D454" s="1">
        <f ca="1">IFERROR(__xludf.DUMMYFUNCTION("""COMPUTED_VALUE"""),38.08)</f>
        <v>38.08</v>
      </c>
      <c r="E454" s="1"/>
      <c r="F454" s="1"/>
    </row>
    <row r="455" spans="1:6" x14ac:dyDescent="0.2">
      <c r="A455" s="1">
        <v>130</v>
      </c>
      <c r="B455" s="5" t="s">
        <v>1</v>
      </c>
      <c r="C455" s="5" t="s">
        <v>2</v>
      </c>
      <c r="D455" s="1">
        <v>36.86</v>
      </c>
      <c r="E455" s="1"/>
      <c r="F455" s="1"/>
    </row>
    <row r="456" spans="1:6" x14ac:dyDescent="0.2">
      <c r="A456" s="3" t="str">
        <f ca="1">IFERROR(__xludf.DUMMYFUNCTION("""COMPUTED_VALUE"""),"U14 Girls High Jump")</f>
        <v>U14 Girls High Jump</v>
      </c>
      <c r="B456" s="3"/>
      <c r="C456" s="3"/>
      <c r="D456" s="3"/>
      <c r="E456" s="7" t="s">
        <v>4</v>
      </c>
      <c r="F456" s="1"/>
    </row>
    <row r="457" spans="1:6" x14ac:dyDescent="0.2">
      <c r="A457" s="1">
        <f ca="1">IFERROR(__xludf.DUMMYFUNCTION("""COMPUTED_VALUE"""),446)</f>
        <v>446</v>
      </c>
      <c r="B457" s="1" t="str">
        <f ca="1">IFERROR(__xludf.DUMMYFUNCTION("""COMPUTED_VALUE"""),"Eliza De Villiers")</f>
        <v>Eliza De Villiers</v>
      </c>
      <c r="C457" s="1" t="str">
        <f ca="1">IFERROR(__xludf.DUMMYFUNCTION("""COMPUTED_VALUE"""),"Worksop")</f>
        <v>Worksop</v>
      </c>
      <c r="D457" s="4">
        <f ca="1">IFERROR(__xludf.DUMMYFUNCTION("""COMPUTED_VALUE"""),1.4)</f>
        <v>1.4</v>
      </c>
      <c r="E457" s="1">
        <v>7</v>
      </c>
      <c r="F457" s="1"/>
    </row>
    <row r="458" spans="1:6" x14ac:dyDescent="0.2">
      <c r="A458" s="1">
        <f ca="1">IFERROR(__xludf.DUMMYFUNCTION("""COMPUTED_VALUE"""),540)</f>
        <v>540</v>
      </c>
      <c r="B458" s="1" t="str">
        <f ca="1">IFERROR(__xludf.DUMMYFUNCTION("""COMPUTED_VALUE"""),"Leticia De Jong")</f>
        <v>Leticia De Jong</v>
      </c>
      <c r="C458" s="1" t="str">
        <f ca="1">IFERROR(__xludf.DUMMYFUNCTION("""COMPUTED_VALUE"""),"Hallamshire")</f>
        <v>Hallamshire</v>
      </c>
      <c r="D458" s="4">
        <f ca="1">IFERROR(__xludf.DUMMYFUNCTION("""COMPUTED_VALUE"""),1.45)</f>
        <v>1.45</v>
      </c>
      <c r="E458" s="1">
        <v>5</v>
      </c>
      <c r="F458" s="1"/>
    </row>
    <row r="459" spans="1:6" x14ac:dyDescent="0.2">
      <c r="A459" s="1">
        <f ca="1">IFERROR(__xludf.DUMMYFUNCTION("""COMPUTED_VALUE"""),40)</f>
        <v>40</v>
      </c>
      <c r="B459" s="1" t="str">
        <f ca="1">IFERROR(__xludf.DUMMYFUNCTION("""COMPUTED_VALUE"""),"Jessica Sanderson")</f>
        <v>Jessica Sanderson</v>
      </c>
      <c r="C459" s="1" t="str">
        <f ca="1">IFERROR(__xludf.DUMMYFUNCTION("""COMPUTED_VALUE"""),"Chesterfield")</f>
        <v>Chesterfield</v>
      </c>
      <c r="D459" s="4">
        <f ca="1">IFERROR(__xludf.DUMMYFUNCTION("""COMPUTED_VALUE"""),1.5)</f>
        <v>1.5</v>
      </c>
      <c r="E459" s="1">
        <v>2</v>
      </c>
      <c r="F459" s="1"/>
    </row>
    <row r="460" spans="1:6" x14ac:dyDescent="0.2">
      <c r="A460" s="1">
        <f ca="1">IFERROR(__xludf.DUMMYFUNCTION("""COMPUTED_VALUE"""),150)</f>
        <v>150</v>
      </c>
      <c r="B460" s="1" t="str">
        <f ca="1">IFERROR(__xludf.DUMMYFUNCTION("""COMPUTED_VALUE"""),"Holly Swanborough")</f>
        <v>Holly Swanborough</v>
      </c>
      <c r="C460" s="1" t="str">
        <f ca="1">IFERROR(__xludf.DUMMYFUNCTION("""COMPUTED_VALUE"""),"KUHAC")</f>
        <v>KUHAC</v>
      </c>
      <c r="D460" s="4">
        <f ca="1">IFERROR(__xludf.DUMMYFUNCTION("""COMPUTED_VALUE"""),1.53)</f>
        <v>1.53</v>
      </c>
      <c r="E460" s="1">
        <v>1</v>
      </c>
      <c r="F460" s="1"/>
    </row>
    <row r="461" spans="1:6" x14ac:dyDescent="0.2">
      <c r="A461" s="1">
        <f ca="1">IFERROR(__xludf.DUMMYFUNCTION("""COMPUTED_VALUE"""),337)</f>
        <v>337</v>
      </c>
      <c r="B461" s="1" t="str">
        <f ca="1">IFERROR(__xludf.DUMMYFUNCTION("""COMPUTED_VALUE"""),"Faith Awosanya")</f>
        <v>Faith Awosanya</v>
      </c>
      <c r="C461" s="1" t="str">
        <f ca="1">IFERROR(__xludf.DUMMYFUNCTION("""COMPUTED_VALUE"""),"LWAC")</f>
        <v>LWAC</v>
      </c>
      <c r="D461" s="4">
        <f ca="1">IFERROR(__xludf.DUMMYFUNCTION("""COMPUTED_VALUE"""),1.25)</f>
        <v>1.25</v>
      </c>
      <c r="E461" s="1">
        <v>9</v>
      </c>
      <c r="F461" s="1"/>
    </row>
    <row r="462" spans="1:6" x14ac:dyDescent="0.2">
      <c r="A462" s="1">
        <f ca="1">IFERROR(__xludf.DUMMYFUNCTION("""COMPUTED_VALUE"""),445)</f>
        <v>445</v>
      </c>
      <c r="B462" s="1" t="str">
        <f ca="1">IFERROR(__xludf.DUMMYFUNCTION("""COMPUTED_VALUE"""),"Bonnie Bradley")</f>
        <v>Bonnie Bradley</v>
      </c>
      <c r="C462" s="1" t="str">
        <f ca="1">IFERROR(__xludf.DUMMYFUNCTION("""COMPUTED_VALUE"""),"Rushcliffe")</f>
        <v>Rushcliffe</v>
      </c>
      <c r="D462" s="4">
        <f ca="1">IFERROR(__xludf.DUMMYFUNCTION("""COMPUTED_VALUE"""),1.4)</f>
        <v>1.4</v>
      </c>
      <c r="E462" s="1">
        <v>6</v>
      </c>
      <c r="F462" s="1"/>
    </row>
    <row r="463" spans="1:6" x14ac:dyDescent="0.2">
      <c r="A463" s="1">
        <f ca="1">IFERROR(__xludf.DUMMYFUNCTION("""COMPUTED_VALUE"""),535)</f>
        <v>535</v>
      </c>
      <c r="B463" s="1" t="str">
        <f ca="1">IFERROR(__xludf.DUMMYFUNCTION("""COMPUTED_VALUE"""),"Mia Pettican")</f>
        <v>Mia Pettican</v>
      </c>
      <c r="C463" s="1" t="str">
        <f ca="1">IFERROR(__xludf.DUMMYFUNCTION("""COMPUTED_VALUE"""),"Rotherham")</f>
        <v>Rotherham</v>
      </c>
      <c r="D463" s="4">
        <f ca="1">IFERROR(__xludf.DUMMYFUNCTION("""COMPUTED_VALUE"""),1.45)</f>
        <v>1.45</v>
      </c>
      <c r="E463" s="1">
        <v>5</v>
      </c>
      <c r="F463" s="1"/>
    </row>
    <row r="464" spans="1:6" x14ac:dyDescent="0.2">
      <c r="A464" s="1">
        <f ca="1">IFERROR(__xludf.DUMMYFUNCTION("""COMPUTED_VALUE"""),43)</f>
        <v>43</v>
      </c>
      <c r="B464" s="1" t="str">
        <f ca="1">IFERROR(__xludf.DUMMYFUNCTION("""COMPUTED_VALUE"""),"Ruby Thomson")</f>
        <v>Ruby Thomson</v>
      </c>
      <c r="C464" s="1" t="str">
        <f ca="1">IFERROR(__xludf.DUMMYFUNCTION("""COMPUTED_VALUE"""),"Chesterfield")</f>
        <v>Chesterfield</v>
      </c>
      <c r="D464" s="4">
        <f ca="1">IFERROR(__xludf.DUMMYFUNCTION("""COMPUTED_VALUE"""),1.45)</f>
        <v>1.45</v>
      </c>
      <c r="E464" s="1">
        <v>3</v>
      </c>
      <c r="F464" s="1"/>
    </row>
    <row r="465" spans="1:6" x14ac:dyDescent="0.2">
      <c r="A465" s="1">
        <f ca="1">IFERROR(__xludf.DUMMYFUNCTION("""COMPUTED_VALUE"""),151)</f>
        <v>151</v>
      </c>
      <c r="B465" s="1" t="str">
        <f ca="1">IFERROR(__xludf.DUMMYFUNCTION("""COMPUTED_VALUE"""),"Jessica Otter")</f>
        <v>Jessica Otter</v>
      </c>
      <c r="C465" s="1" t="str">
        <f ca="1">IFERROR(__xludf.DUMMYFUNCTION("""COMPUTED_VALUE"""),"Cleethorpes")</f>
        <v>Cleethorpes</v>
      </c>
      <c r="D465" s="4">
        <f ca="1">IFERROR(__xludf.DUMMYFUNCTION("""COMPUTED_VALUE"""),1.4)</f>
        <v>1.4</v>
      </c>
      <c r="E465" s="1">
        <v>8</v>
      </c>
      <c r="F465" s="1"/>
    </row>
    <row r="466" spans="1:6" x14ac:dyDescent="0.2">
      <c r="A466" s="1">
        <f ca="1">IFERROR(__xludf.DUMMYFUNCTION("""COMPUTED_VALUE"""),340)</f>
        <v>340</v>
      </c>
      <c r="B466" s="1" t="str">
        <f ca="1">IFERROR(__xludf.DUMMYFUNCTION("""COMPUTED_VALUE"""),"Harriet Ward")</f>
        <v>Harriet Ward</v>
      </c>
      <c r="C466" s="1" t="str">
        <f ca="1">IFERROR(__xludf.DUMMYFUNCTION("""COMPUTED_VALUE"""),"LWAC")</f>
        <v>LWAC</v>
      </c>
      <c r="D466" s="4">
        <f ca="1">IFERROR(__xludf.DUMMYFUNCTION("""COMPUTED_VALUE"""),1.2)</f>
        <v>1.2</v>
      </c>
      <c r="E466" s="1">
        <v>10</v>
      </c>
      <c r="F466" s="1"/>
    </row>
    <row r="467" spans="1:6" x14ac:dyDescent="0.2">
      <c r="A467" s="3" t="str">
        <f ca="1">IFERROR(__xludf.DUMMYFUNCTION("""COMPUTED_VALUE"""),"U14 Boys Long Jump")</f>
        <v>U14 Boys Long Jump</v>
      </c>
      <c r="B467" s="3"/>
      <c r="C467" s="3"/>
      <c r="D467" s="3"/>
      <c r="E467" s="3"/>
      <c r="F467" s="1"/>
    </row>
    <row r="468" spans="1:6" x14ac:dyDescent="0.2">
      <c r="A468" s="1">
        <f ca="1">IFERROR(__xludf.DUMMYFUNCTION("""COMPUTED_VALUE"""),413)</f>
        <v>413</v>
      </c>
      <c r="B468" s="1" t="str">
        <f ca="1">IFERROR(__xludf.DUMMYFUNCTION("""COMPUTED_VALUE"""),"Isaac Beresford")</f>
        <v>Isaac Beresford</v>
      </c>
      <c r="C468" s="1" t="str">
        <f ca="1">IFERROR(__xludf.DUMMYFUNCTION("""COMPUTED_VALUE"""),"Worksop")</f>
        <v>Worksop</v>
      </c>
      <c r="D468" s="4">
        <f ca="1">IFERROR(__xludf.DUMMYFUNCTION("""COMPUTED_VALUE"""),5.57)</f>
        <v>5.57</v>
      </c>
      <c r="E468" s="1"/>
      <c r="F468" s="1"/>
    </row>
    <row r="469" spans="1:6" x14ac:dyDescent="0.2">
      <c r="A469" s="1">
        <f ca="1">IFERROR(__xludf.DUMMYFUNCTION("""COMPUTED_VALUE"""),514)</f>
        <v>514</v>
      </c>
      <c r="B469" s="1" t="str">
        <f ca="1">IFERROR(__xludf.DUMMYFUNCTION("""COMPUTED_VALUE"""),"Joseph Dale")</f>
        <v>Joseph Dale</v>
      </c>
      <c r="C469" s="1" t="str">
        <f ca="1">IFERROR(__xludf.DUMMYFUNCTION("""COMPUTED_VALUE"""),"City of Sheffield")</f>
        <v>City of Sheffield</v>
      </c>
      <c r="D469" s="4">
        <f ca="1">IFERROR(__xludf.DUMMYFUNCTION("""COMPUTED_VALUE"""),4.9)</f>
        <v>4.9000000000000004</v>
      </c>
      <c r="E469" s="1"/>
      <c r="F469" s="1"/>
    </row>
    <row r="470" spans="1:6" x14ac:dyDescent="0.2">
      <c r="A470" s="1">
        <f ca="1">IFERROR(__xludf.DUMMYFUNCTION("""COMPUTED_VALUE"""),11)</f>
        <v>11</v>
      </c>
      <c r="B470" s="1" t="str">
        <f ca="1">IFERROR(__xludf.DUMMYFUNCTION("""COMPUTED_VALUE"""),"Felix Webber")</f>
        <v>Felix Webber</v>
      </c>
      <c r="C470" s="1" t="str">
        <f ca="1">IFERROR(__xludf.DUMMYFUNCTION("""COMPUTED_VALUE"""),"Derby")</f>
        <v>Derby</v>
      </c>
      <c r="D470" s="4">
        <f ca="1">IFERROR(__xludf.DUMMYFUNCTION("""COMPUTED_VALUE"""),5.33)</f>
        <v>5.33</v>
      </c>
      <c r="E470" s="1"/>
      <c r="F470" s="1"/>
    </row>
    <row r="471" spans="1:6" x14ac:dyDescent="0.2">
      <c r="A471" s="1">
        <f ca="1">IFERROR(__xludf.DUMMYFUNCTION("""COMPUTED_VALUE"""),111)</f>
        <v>111</v>
      </c>
      <c r="B471" s="1" t="str">
        <f ca="1">IFERROR(__xludf.DUMMYFUNCTION("""COMPUTED_VALUE"""),"Jake Newell")</f>
        <v>Jake Newell</v>
      </c>
      <c r="C471" s="1" t="str">
        <f ca="1">IFERROR(__xludf.DUMMYFUNCTION("""COMPUTED_VALUE"""),"Barton")</f>
        <v>Barton</v>
      </c>
      <c r="D471" s="4">
        <f ca="1">IFERROR(__xludf.DUMMYFUNCTION("""COMPUTED_VALUE"""),5.51)</f>
        <v>5.51</v>
      </c>
      <c r="E471" s="1"/>
      <c r="F471" s="1"/>
    </row>
    <row r="472" spans="1:6" x14ac:dyDescent="0.2">
      <c r="A472" s="1">
        <f ca="1">IFERROR(__xludf.DUMMYFUNCTION("""COMPUTED_VALUE"""),314)</f>
        <v>314</v>
      </c>
      <c r="B472" s="1" t="str">
        <f ca="1">IFERROR(__xludf.DUMMYFUNCTION("""COMPUTED_VALUE"""),"Oliver Guiness")</f>
        <v>Oliver Guiness</v>
      </c>
      <c r="C472" s="1" t="str">
        <f ca="1">IFERROR(__xludf.DUMMYFUNCTION("""COMPUTED_VALUE"""),"LWAC")</f>
        <v>LWAC</v>
      </c>
      <c r="D472" s="4">
        <f ca="1">IFERROR(__xludf.DUMMYFUNCTION("""COMPUTED_VALUE"""),4.39)</f>
        <v>4.3899999999999997</v>
      </c>
      <c r="E472" s="1"/>
      <c r="F472" s="1"/>
    </row>
    <row r="473" spans="1:6" x14ac:dyDescent="0.2">
      <c r="A473" s="1">
        <f ca="1">IFERROR(__xludf.DUMMYFUNCTION("""COMPUTED_VALUE"""),414)</f>
        <v>414</v>
      </c>
      <c r="B473" s="1" t="str">
        <f ca="1">IFERROR(__xludf.DUMMYFUNCTION("""COMPUTED_VALUE"""),"Ethan Baxter")</f>
        <v>Ethan Baxter</v>
      </c>
      <c r="C473" s="1" t="str">
        <f ca="1">IFERROR(__xludf.DUMMYFUNCTION("""COMPUTED_VALUE"""),"Worksop")</f>
        <v>Worksop</v>
      </c>
      <c r="D473" s="4">
        <f ca="1">IFERROR(__xludf.DUMMYFUNCTION("""COMPUTED_VALUE"""),4.72)</f>
        <v>4.72</v>
      </c>
      <c r="E473" s="1"/>
      <c r="F473" s="1"/>
    </row>
    <row r="474" spans="1:6" x14ac:dyDescent="0.2">
      <c r="A474" s="1">
        <f ca="1">IFERROR(__xludf.DUMMYFUNCTION("""COMPUTED_VALUE"""),515)</f>
        <v>515</v>
      </c>
      <c r="B474" s="1" t="str">
        <f ca="1">IFERROR(__xludf.DUMMYFUNCTION("""COMPUTED_VALUE"""),"Daniel Anderson")</f>
        <v>Daniel Anderson</v>
      </c>
      <c r="C474" s="1" t="str">
        <f ca="1">IFERROR(__xludf.DUMMYFUNCTION("""COMPUTED_VALUE"""),"Hallamshire")</f>
        <v>Hallamshire</v>
      </c>
      <c r="D474" s="4">
        <f ca="1">IFERROR(__xludf.DUMMYFUNCTION("""COMPUTED_VALUE"""),4.05)</f>
        <v>4.05</v>
      </c>
      <c r="E474" s="1"/>
      <c r="F474" s="1"/>
    </row>
    <row r="475" spans="1:6" x14ac:dyDescent="0.2">
      <c r="A475" s="1">
        <f ca="1">IFERROR(__xludf.DUMMYFUNCTION("""COMPUTED_VALUE"""),13)</f>
        <v>13</v>
      </c>
      <c r="B475" s="1" t="str">
        <f ca="1">IFERROR(__xludf.DUMMYFUNCTION("""COMPUTED_VALUE"""),"Tobi Duke")</f>
        <v>Tobi Duke</v>
      </c>
      <c r="C475" s="1" t="str">
        <f ca="1">IFERROR(__xludf.DUMMYFUNCTION("""COMPUTED_VALUE"""),"Chesterfield")</f>
        <v>Chesterfield</v>
      </c>
      <c r="D475" s="4">
        <f ca="1">IFERROR(__xludf.DUMMYFUNCTION("""COMPUTED_VALUE"""),4.7)</f>
        <v>4.7</v>
      </c>
      <c r="E475" s="1"/>
      <c r="F475" s="1"/>
    </row>
    <row r="476" spans="1:6" x14ac:dyDescent="0.2">
      <c r="A476" s="1">
        <f ca="1">IFERROR(__xludf.DUMMYFUNCTION("""COMPUTED_VALUE"""),115)</f>
        <v>115</v>
      </c>
      <c r="B476" s="1" t="str">
        <f ca="1">IFERROR(__xludf.DUMMYFUNCTION("""COMPUTED_VALUE"""),"Thomas Dover")</f>
        <v>Thomas Dover</v>
      </c>
      <c r="C476" s="1" t="str">
        <f ca="1">IFERROR(__xludf.DUMMYFUNCTION("""COMPUTED_VALUE"""),"City of York")</f>
        <v>City of York</v>
      </c>
      <c r="D476" s="4">
        <f ca="1">IFERROR(__xludf.DUMMYFUNCTION("""COMPUTED_VALUE"""),5.45)</f>
        <v>5.45</v>
      </c>
      <c r="E476" s="1"/>
      <c r="F476" s="1"/>
    </row>
    <row r="477" spans="1:6" x14ac:dyDescent="0.2">
      <c r="A477" s="1">
        <f ca="1">IFERROR(__xludf.DUMMYFUNCTION("""COMPUTED_VALUE"""),316)</f>
        <v>316</v>
      </c>
      <c r="B477" s="1" t="str">
        <f ca="1">IFERROR(__xludf.DUMMYFUNCTION("""COMPUTED_VALUE"""),"Leo King")</f>
        <v>Leo King</v>
      </c>
      <c r="C477" s="1" t="str">
        <f ca="1">IFERROR(__xludf.DUMMYFUNCTION("""COMPUTED_VALUE"""),"LWAC")</f>
        <v>LWAC</v>
      </c>
      <c r="D477" s="4">
        <f ca="1">IFERROR(__xludf.DUMMYFUNCTION("""COMPUTED_VALUE"""),3.89)</f>
        <v>3.89</v>
      </c>
      <c r="E477" s="1"/>
      <c r="F477" s="1"/>
    </row>
    <row r="478" spans="1:6" x14ac:dyDescent="0.2">
      <c r="A478" s="3" t="str">
        <f ca="1">IFERROR(__xludf.DUMMYFUNCTION("""COMPUTED_VALUE"""),"U16 Girls Shot Put (3.0KG)")</f>
        <v>U16 Girls Shot Put (3.0KG)</v>
      </c>
      <c r="B478" s="3"/>
      <c r="C478" s="3"/>
      <c r="D478" s="3"/>
      <c r="E478" s="3"/>
      <c r="F478" s="1"/>
    </row>
    <row r="479" spans="1:6" x14ac:dyDescent="0.2">
      <c r="A479" s="1">
        <f ca="1">IFERROR(__xludf.DUMMYFUNCTION("""COMPUTED_VALUE"""),550)</f>
        <v>550</v>
      </c>
      <c r="B479" s="1" t="str">
        <f ca="1">IFERROR(__xludf.DUMMYFUNCTION("""COMPUTED_VALUE"""),"Grace Raynor")</f>
        <v>Grace Raynor</v>
      </c>
      <c r="C479" s="1" t="str">
        <f ca="1">IFERROR(__xludf.DUMMYFUNCTION("""COMPUTED_VALUE"""),"Hallamshire")</f>
        <v>Hallamshire</v>
      </c>
      <c r="D479" s="4">
        <f ca="1">IFERROR(__xludf.DUMMYFUNCTION("""COMPUTED_VALUE"""),8.7)</f>
        <v>8.6999999999999993</v>
      </c>
      <c r="E479" s="1"/>
      <c r="F479" s="1"/>
    </row>
    <row r="480" spans="1:6" x14ac:dyDescent="0.2">
      <c r="A480" s="1">
        <f ca="1">IFERROR(__xludf.DUMMYFUNCTION("""COMPUTED_VALUE"""),56)</f>
        <v>56</v>
      </c>
      <c r="B480" s="1" t="str">
        <f ca="1">IFERROR(__xludf.DUMMYFUNCTION("""COMPUTED_VALUE"""),"Faith Baines")</f>
        <v>Faith Baines</v>
      </c>
      <c r="C480" s="1" t="str">
        <f ca="1">IFERROR(__xludf.DUMMYFUNCTION("""COMPUTED_VALUE"""),"Chesterfield")</f>
        <v>Chesterfield</v>
      </c>
      <c r="D480" s="4">
        <f ca="1">IFERROR(__xludf.DUMMYFUNCTION("""COMPUTED_VALUE"""),9.12)</f>
        <v>9.1199999999999992</v>
      </c>
      <c r="E480" s="1"/>
      <c r="F480" s="1"/>
    </row>
    <row r="481" spans="1:6" x14ac:dyDescent="0.2">
      <c r="A481" s="1">
        <f ca="1">IFERROR(__xludf.DUMMYFUNCTION("""COMPUTED_VALUE"""),165)</f>
        <v>165</v>
      </c>
      <c r="B481" s="1" t="str">
        <f ca="1">IFERROR(__xludf.DUMMYFUNCTION("""COMPUTED_VALUE"""),"Elli Warden")</f>
        <v>Elli Warden</v>
      </c>
      <c r="C481" s="1" t="str">
        <f ca="1">IFERROR(__xludf.DUMMYFUNCTION("""COMPUTED_VALUE"""),"KUHAC")</f>
        <v>KUHAC</v>
      </c>
      <c r="D481" s="4">
        <f ca="1">IFERROR(__xludf.DUMMYFUNCTION("""COMPUTED_VALUE"""),10.34)</f>
        <v>10.34</v>
      </c>
      <c r="E481" s="1"/>
      <c r="F481" s="1"/>
    </row>
    <row r="482" spans="1:6" x14ac:dyDescent="0.2">
      <c r="A482" s="1">
        <f ca="1">IFERROR(__xludf.DUMMYFUNCTION("""COMPUTED_VALUE"""),352)</f>
        <v>352</v>
      </c>
      <c r="B482" s="1" t="str">
        <f ca="1">IFERROR(__xludf.DUMMYFUNCTION("""COMPUTED_VALUE"""),"Lexie Parsonage")</f>
        <v>Lexie Parsonage</v>
      </c>
      <c r="C482" s="1" t="str">
        <f ca="1">IFERROR(__xludf.DUMMYFUNCTION("""COMPUTED_VALUE"""),"LWAC")</f>
        <v>LWAC</v>
      </c>
      <c r="D482" s="4">
        <f ca="1">IFERROR(__xludf.DUMMYFUNCTION("""COMPUTED_VALUE"""),9.51)</f>
        <v>9.51</v>
      </c>
      <c r="E482" s="1"/>
      <c r="F482" s="1"/>
    </row>
    <row r="483" spans="1:6" x14ac:dyDescent="0.2">
      <c r="A483" s="1">
        <f ca="1">IFERROR(__xludf.DUMMYFUNCTION("""COMPUTED_VALUE"""),459)</f>
        <v>459</v>
      </c>
      <c r="B483" s="1" t="str">
        <f ca="1">IFERROR(__xludf.DUMMYFUNCTION("""COMPUTED_VALUE"""),"Xena Marshall")</f>
        <v>Xena Marshall</v>
      </c>
      <c r="C483" s="1" t="str">
        <f ca="1">IFERROR(__xludf.DUMMYFUNCTION("""COMPUTED_VALUE"""),"Retford")</f>
        <v>Retford</v>
      </c>
      <c r="D483" s="4">
        <f ca="1">IFERROR(__xludf.DUMMYFUNCTION("""COMPUTED_VALUE"""),8.03)</f>
        <v>8.0299999999999994</v>
      </c>
      <c r="E483" s="1"/>
      <c r="F483" s="1"/>
    </row>
    <row r="484" spans="1:6" x14ac:dyDescent="0.2">
      <c r="A484" s="1">
        <f ca="1">IFERROR(__xludf.DUMMYFUNCTION("""COMPUTED_VALUE"""),549)</f>
        <v>549</v>
      </c>
      <c r="B484" s="1" t="str">
        <f ca="1">IFERROR(__xludf.DUMMYFUNCTION("""COMPUTED_VALUE"""),"Scarlett Ashford")</f>
        <v>Scarlett Ashford</v>
      </c>
      <c r="C484" s="1" t="str">
        <f ca="1">IFERROR(__xludf.DUMMYFUNCTION("""COMPUTED_VALUE"""),"City of Sheffield")</f>
        <v>City of Sheffield</v>
      </c>
      <c r="D484" s="4">
        <f ca="1">IFERROR(__xludf.DUMMYFUNCTION("""COMPUTED_VALUE"""),7.54)</f>
        <v>7.54</v>
      </c>
      <c r="E484" s="1"/>
      <c r="F484" s="1"/>
    </row>
    <row r="485" spans="1:6" x14ac:dyDescent="0.2">
      <c r="A485" s="1">
        <f ca="1">IFERROR(__xludf.DUMMYFUNCTION("""COMPUTED_VALUE"""),57)</f>
        <v>57</v>
      </c>
      <c r="B485" s="1" t="str">
        <f ca="1">IFERROR(__xludf.DUMMYFUNCTION("""COMPUTED_VALUE"""),"Emily Ross")</f>
        <v>Emily Ross</v>
      </c>
      <c r="C485" s="1" t="str">
        <f ca="1">IFERROR(__xludf.DUMMYFUNCTION("""COMPUTED_VALUE"""),"Chesterfield")</f>
        <v>Chesterfield</v>
      </c>
      <c r="D485" s="4">
        <f ca="1">IFERROR(__xludf.DUMMYFUNCTION("""COMPUTED_VALUE"""),8.2)</f>
        <v>8.1999999999999993</v>
      </c>
      <c r="E485" s="1"/>
      <c r="F485" s="1"/>
    </row>
    <row r="486" spans="1:6" x14ac:dyDescent="0.2">
      <c r="A486" s="1">
        <f ca="1">IFERROR(__xludf.DUMMYFUNCTION("""COMPUTED_VALUE"""),166)</f>
        <v>166</v>
      </c>
      <c r="B486" s="1" t="str">
        <f ca="1">IFERROR(__xludf.DUMMYFUNCTION("""COMPUTED_VALUE"""),"Phoebe Moore")</f>
        <v>Phoebe Moore</v>
      </c>
      <c r="C486" s="1" t="str">
        <f ca="1">IFERROR(__xludf.DUMMYFUNCTION("""COMPUTED_VALUE"""),"KUHAC")</f>
        <v>KUHAC</v>
      </c>
      <c r="D486" s="4">
        <f ca="1">IFERROR(__xludf.DUMMYFUNCTION("""COMPUTED_VALUE"""),9)</f>
        <v>9</v>
      </c>
      <c r="E486" s="1"/>
      <c r="F486" s="1"/>
    </row>
    <row r="487" spans="1:6" x14ac:dyDescent="0.2">
      <c r="A487" s="1">
        <f ca="1">IFERROR(__xludf.DUMMYFUNCTION("""COMPUTED_VALUE"""),349)</f>
        <v>349</v>
      </c>
      <c r="B487" s="1" t="str">
        <f ca="1">IFERROR(__xludf.DUMMYFUNCTION("""COMPUTED_VALUE"""),"Olivia Lindsay")</f>
        <v>Olivia Lindsay</v>
      </c>
      <c r="C487" s="1" t="str">
        <f ca="1">IFERROR(__xludf.DUMMYFUNCTION("""COMPUTED_VALUE"""),"LWAC")</f>
        <v>LWAC</v>
      </c>
      <c r="D487" s="4">
        <f ca="1">IFERROR(__xludf.DUMMYFUNCTION("""COMPUTED_VALUE"""),8.3)</f>
        <v>8.3000000000000007</v>
      </c>
      <c r="E487" s="1"/>
      <c r="F487" s="1"/>
    </row>
    <row r="488" spans="1:6" x14ac:dyDescent="0.2">
      <c r="A488" s="1">
        <f ca="1">IFERROR(__xludf.DUMMYFUNCTION("""COMPUTED_VALUE"""),458)</f>
        <v>458</v>
      </c>
      <c r="B488" s="1" t="str">
        <f ca="1">IFERROR(__xludf.DUMMYFUNCTION("""COMPUTED_VALUE"""),"Darcey Croshaw")</f>
        <v>Darcey Croshaw</v>
      </c>
      <c r="C488" s="1" t="str">
        <f ca="1">IFERROR(__xludf.DUMMYFUNCTION("""COMPUTED_VALUE"""),"Worksop")</f>
        <v>Worksop</v>
      </c>
      <c r="D488" s="4">
        <f ca="1">IFERROR(__xludf.DUMMYFUNCTION("""COMPUTED_VALUE"""),8.34)</f>
        <v>8.34</v>
      </c>
      <c r="E488" s="1"/>
      <c r="F488" s="1"/>
    </row>
    <row r="489" spans="1:6" x14ac:dyDescent="0.2">
      <c r="A489" s="3" t="str">
        <f ca="1">IFERROR(__xludf.DUMMYFUNCTION("""COMPUTED_VALUE"""),"U14 Girls Javelin (400g)")</f>
        <v>U14 Girls Javelin (400g)</v>
      </c>
      <c r="B489" s="3"/>
      <c r="C489" s="3"/>
      <c r="D489" s="3"/>
      <c r="E489" s="3"/>
      <c r="F489" s="1"/>
    </row>
    <row r="490" spans="1:6" x14ac:dyDescent="0.2">
      <c r="A490" s="1">
        <f ca="1">IFERROR(__xludf.DUMMYFUNCTION("""COMPUTED_VALUE"""),44)</f>
        <v>44</v>
      </c>
      <c r="B490" s="1" t="str">
        <f ca="1">IFERROR(__xludf.DUMMYFUNCTION("""COMPUTED_VALUE"""),"Ruby Arnold")</f>
        <v>Ruby Arnold</v>
      </c>
      <c r="C490" s="1" t="str">
        <f ca="1">IFERROR(__xludf.DUMMYFUNCTION("""COMPUTED_VALUE"""),"Derby")</f>
        <v>Derby</v>
      </c>
      <c r="D490" s="4">
        <f ca="1">IFERROR(__xludf.DUMMYFUNCTION("""COMPUTED_VALUE"""),29.74)</f>
        <v>29.74</v>
      </c>
      <c r="E490" s="1"/>
      <c r="F490" s="1"/>
    </row>
    <row r="491" spans="1:6" x14ac:dyDescent="0.2">
      <c r="A491" s="1">
        <f ca="1">IFERROR(__xludf.DUMMYFUNCTION("""COMPUTED_VALUE"""),153)</f>
        <v>153</v>
      </c>
      <c r="B491" s="1" t="str">
        <f ca="1">IFERROR(__xludf.DUMMYFUNCTION("""COMPUTED_VALUE"""),"Taryn Ollett")</f>
        <v>Taryn Ollett</v>
      </c>
      <c r="C491" s="1" t="str">
        <f ca="1">IFERROR(__xludf.DUMMYFUNCTION("""COMPUTED_VALUE"""),"KUHAC")</f>
        <v>KUHAC</v>
      </c>
      <c r="D491" s="4">
        <f ca="1">IFERROR(__xludf.DUMMYFUNCTION("""COMPUTED_VALUE"""),23.49)</f>
        <v>23.49</v>
      </c>
      <c r="E491" s="1"/>
      <c r="F491" s="1"/>
    </row>
    <row r="492" spans="1:6" x14ac:dyDescent="0.2">
      <c r="A492" s="1">
        <f ca="1">IFERROR(__xludf.DUMMYFUNCTION("""COMPUTED_VALUE"""),340)</f>
        <v>340</v>
      </c>
      <c r="B492" s="1" t="str">
        <f ca="1">IFERROR(__xludf.DUMMYFUNCTION("""COMPUTED_VALUE"""),"Harriet Ward")</f>
        <v>Harriet Ward</v>
      </c>
      <c r="C492" s="1" t="str">
        <f ca="1">IFERROR(__xludf.DUMMYFUNCTION("""COMPUTED_VALUE"""),"LWAC")</f>
        <v>LWAC</v>
      </c>
      <c r="D492" s="4">
        <f ca="1">IFERROR(__xludf.DUMMYFUNCTION("""COMPUTED_VALUE"""),13.75)</f>
        <v>13.75</v>
      </c>
      <c r="E492" s="1"/>
      <c r="F492" s="1"/>
    </row>
    <row r="493" spans="1:6" x14ac:dyDescent="0.2">
      <c r="A493" s="1">
        <f ca="1">IFERROR(__xludf.DUMMYFUNCTION("""COMPUTED_VALUE"""),448)</f>
        <v>448</v>
      </c>
      <c r="B493" s="1" t="str">
        <f ca="1">IFERROR(__xludf.DUMMYFUNCTION("""COMPUTED_VALUE"""),"Eliza Lord")</f>
        <v>Eliza Lord</v>
      </c>
      <c r="C493" s="1" t="str">
        <f ca="1">IFERROR(__xludf.DUMMYFUNCTION("""COMPUTED_VALUE"""),"Retford")</f>
        <v>Retford</v>
      </c>
      <c r="D493" s="4">
        <f ca="1">IFERROR(__xludf.DUMMYFUNCTION("""COMPUTED_VALUE"""),22.22)</f>
        <v>22.22</v>
      </c>
      <c r="E493" s="1"/>
      <c r="F493" s="1"/>
    </row>
    <row r="494" spans="1:6" x14ac:dyDescent="0.2">
      <c r="A494" s="1">
        <f ca="1">IFERROR(__xludf.DUMMYFUNCTION("""COMPUTED_VALUE"""),541)</f>
        <v>541</v>
      </c>
      <c r="B494" s="1" t="str">
        <f ca="1">IFERROR(__xludf.DUMMYFUNCTION("""COMPUTED_VALUE"""),"Emilia Barradell")</f>
        <v>Emilia Barradell</v>
      </c>
      <c r="C494" s="1" t="str">
        <f ca="1">IFERROR(__xludf.DUMMYFUNCTION("""COMPUTED_VALUE"""),"City of Sheffield")</f>
        <v>City of Sheffield</v>
      </c>
      <c r="D494" s="4">
        <f ca="1">IFERROR(__xludf.DUMMYFUNCTION("""COMPUTED_VALUE"""),25.71)</f>
        <v>25.71</v>
      </c>
      <c r="E494" s="1"/>
      <c r="F494" s="1"/>
    </row>
    <row r="495" spans="1:6" x14ac:dyDescent="0.2">
      <c r="A495" s="1">
        <f ca="1">IFERROR(__xludf.DUMMYFUNCTION("""COMPUTED_VALUE"""),46)</f>
        <v>46</v>
      </c>
      <c r="B495" s="1" t="str">
        <f ca="1">IFERROR(__xludf.DUMMYFUNCTION("""COMPUTED_VALUE"""),"Gabriella Whelpton")</f>
        <v>Gabriella Whelpton</v>
      </c>
      <c r="C495" s="1" t="str">
        <f ca="1">IFERROR(__xludf.DUMMYFUNCTION("""COMPUTED_VALUE"""),"Chesterfield")</f>
        <v>Chesterfield</v>
      </c>
      <c r="D495" s="4">
        <f ca="1">IFERROR(__xludf.DUMMYFUNCTION("""COMPUTED_VALUE"""),20.81)</f>
        <v>20.81</v>
      </c>
      <c r="E495" s="1"/>
      <c r="F495" s="1"/>
    </row>
    <row r="496" spans="1:6" x14ac:dyDescent="0.2">
      <c r="A496" s="1">
        <f ca="1">IFERROR(__xludf.DUMMYFUNCTION("""COMPUTED_VALUE"""),150)</f>
        <v>150</v>
      </c>
      <c r="B496" s="1" t="str">
        <f ca="1">IFERROR(__xludf.DUMMYFUNCTION("""COMPUTED_VALUE"""),"Holly Swanborough")</f>
        <v>Holly Swanborough</v>
      </c>
      <c r="C496" s="1" t="str">
        <f ca="1">IFERROR(__xludf.DUMMYFUNCTION("""COMPUTED_VALUE"""),"KUHAC")</f>
        <v>KUHAC</v>
      </c>
      <c r="D496" s="4">
        <f ca="1">IFERROR(__xludf.DUMMYFUNCTION("""COMPUTED_VALUE"""),18.17)</f>
        <v>18.170000000000002</v>
      </c>
      <c r="E496" s="1"/>
      <c r="F496" s="1"/>
    </row>
    <row r="497" spans="1:6" x14ac:dyDescent="0.2">
      <c r="A497" s="1">
        <f ca="1">IFERROR(__xludf.DUMMYFUNCTION("""COMPUTED_VALUE"""),341)</f>
        <v>341</v>
      </c>
      <c r="B497" s="1" t="str">
        <f ca="1">IFERROR(__xludf.DUMMYFUNCTION("""COMPUTED_VALUE"""),"Emily Ward")</f>
        <v>Emily Ward</v>
      </c>
      <c r="C497" s="1" t="str">
        <f ca="1">IFERROR(__xludf.DUMMYFUNCTION("""COMPUTED_VALUE"""),"B&amp;DAC")</f>
        <v>B&amp;DAC</v>
      </c>
      <c r="D497" s="6" t="s">
        <v>3</v>
      </c>
      <c r="E497" s="1"/>
      <c r="F497" s="1"/>
    </row>
    <row r="498" spans="1:6" x14ac:dyDescent="0.2">
      <c r="A498" s="1">
        <f ca="1">IFERROR(__xludf.DUMMYFUNCTION("""COMPUTED_VALUE"""),444)</f>
        <v>444</v>
      </c>
      <c r="B498" s="1" t="str">
        <f ca="1">IFERROR(__xludf.DUMMYFUNCTION("""COMPUTED_VALUE"""),"Nancy Knowles")</f>
        <v>Nancy Knowles</v>
      </c>
      <c r="C498" s="1" t="str">
        <f ca="1">IFERROR(__xludf.DUMMYFUNCTION("""COMPUTED_VALUE"""),"Rushcliffe")</f>
        <v>Rushcliffe</v>
      </c>
      <c r="D498" s="4">
        <f ca="1">IFERROR(__xludf.DUMMYFUNCTION("""COMPUTED_VALUE"""),25.15)</f>
        <v>25.15</v>
      </c>
      <c r="E498" s="1"/>
      <c r="F498" s="1"/>
    </row>
    <row r="499" spans="1:6" x14ac:dyDescent="0.2">
      <c r="A499" s="1">
        <f ca="1">IFERROR(__xludf.DUMMYFUNCTION("""COMPUTED_VALUE"""),539)</f>
        <v>539</v>
      </c>
      <c r="B499" s="1" t="str">
        <f ca="1">IFERROR(__xludf.DUMMYFUNCTION("""COMPUTED_VALUE"""),"Ava O'Driscoll")</f>
        <v>Ava O'Driscoll</v>
      </c>
      <c r="C499" s="1" t="str">
        <f ca="1">IFERROR(__xludf.DUMMYFUNCTION("""COMPUTED_VALUE"""),"Hallamshire")</f>
        <v>Hallamshire</v>
      </c>
      <c r="D499" s="4">
        <f ca="1">IFERROR(__xludf.DUMMYFUNCTION("""COMPUTED_VALUE"""),25.52)</f>
        <v>25.52</v>
      </c>
      <c r="E499" s="1"/>
      <c r="F499" s="1"/>
    </row>
    <row r="500" spans="1:6" x14ac:dyDescent="0.2">
      <c r="A500" s="3" t="str">
        <f ca="1">IFERROR(__xludf.DUMMYFUNCTION("""COMPUTED_VALUE"""),"U16 Boys Long Jump")</f>
        <v>U16 Boys Long Jump</v>
      </c>
      <c r="B500" s="3"/>
      <c r="C500" s="3"/>
      <c r="D500" s="3"/>
      <c r="E500" s="3"/>
      <c r="F500" s="1"/>
    </row>
    <row r="501" spans="1:6" x14ac:dyDescent="0.2">
      <c r="A501" s="1">
        <f ca="1">IFERROR(__xludf.DUMMYFUNCTION("""COMPUTED_VALUE"""),24)</f>
        <v>24</v>
      </c>
      <c r="B501" s="1" t="str">
        <f ca="1">IFERROR(__xludf.DUMMYFUNCTION("""COMPUTED_VALUE"""),"Oscar Fuller")</f>
        <v>Oscar Fuller</v>
      </c>
      <c r="C501" s="1" t="str">
        <f ca="1">IFERROR(__xludf.DUMMYFUNCTION("""COMPUTED_VALUE"""),"Derby")</f>
        <v>Derby</v>
      </c>
      <c r="D501" s="4">
        <f ca="1">IFERROR(__xludf.DUMMYFUNCTION("""COMPUTED_VALUE"""),5.55)</f>
        <v>5.55</v>
      </c>
      <c r="E501" s="1"/>
      <c r="F501" s="1"/>
    </row>
    <row r="502" spans="1:6" x14ac:dyDescent="0.2">
      <c r="A502" s="1">
        <f ca="1">IFERROR(__xludf.DUMMYFUNCTION("""COMPUTED_VALUE"""),124)</f>
        <v>124</v>
      </c>
      <c r="B502" s="1" t="str">
        <f ca="1">IFERROR(__xludf.DUMMYFUNCTION("""COMPUTED_VALUE"""),"Henry Neal")</f>
        <v>Henry Neal</v>
      </c>
      <c r="C502" s="1" t="str">
        <f ca="1">IFERROR(__xludf.DUMMYFUNCTION("""COMPUTED_VALUE"""),"Scunthorpe")</f>
        <v>Scunthorpe</v>
      </c>
      <c r="D502" s="4">
        <f ca="1">IFERROR(__xludf.DUMMYFUNCTION("""COMPUTED_VALUE"""),5.43)</f>
        <v>5.43</v>
      </c>
      <c r="E502" s="1"/>
      <c r="F502" s="1"/>
    </row>
    <row r="503" spans="1:6" x14ac:dyDescent="0.2">
      <c r="A503" s="1">
        <f ca="1">IFERROR(__xludf.DUMMYFUNCTION("""COMPUTED_VALUE"""),321)</f>
        <v>321</v>
      </c>
      <c r="B503" s="1" t="str">
        <f ca="1">IFERROR(__xludf.DUMMYFUNCTION("""COMPUTED_VALUE"""),"Freddie Hall")</f>
        <v>Freddie Hall</v>
      </c>
      <c r="C503" s="1" t="str">
        <f ca="1">IFERROR(__xludf.DUMMYFUNCTION("""COMPUTED_VALUE"""),"LWAC")</f>
        <v>LWAC</v>
      </c>
      <c r="D503" s="4">
        <f ca="1">IFERROR(__xludf.DUMMYFUNCTION("""COMPUTED_VALUE"""),5.04)</f>
        <v>5.04</v>
      </c>
      <c r="E503" s="1"/>
      <c r="F503" s="1"/>
    </row>
    <row r="504" spans="1:6" x14ac:dyDescent="0.2">
      <c r="A504" s="1">
        <f ca="1">IFERROR(__xludf.DUMMYFUNCTION("""COMPUTED_VALUE"""),425)</f>
        <v>425</v>
      </c>
      <c r="B504" s="1" t="str">
        <f ca="1">IFERROR(__xludf.DUMMYFUNCTION("""COMPUTED_VALUE"""),"Rio Davies")</f>
        <v>Rio Davies</v>
      </c>
      <c r="C504" s="1" t="str">
        <f ca="1">IFERROR(__xludf.DUMMYFUNCTION("""COMPUTED_VALUE"""),"Retford")</f>
        <v>Retford</v>
      </c>
      <c r="D504" s="4">
        <f ca="1">IFERROR(__xludf.DUMMYFUNCTION("""COMPUTED_VALUE"""),5.58)</f>
        <v>5.58</v>
      </c>
      <c r="E504" s="1"/>
      <c r="F504" s="1"/>
    </row>
    <row r="505" spans="1:6" x14ac:dyDescent="0.2">
      <c r="A505" s="1">
        <f ca="1">IFERROR(__xludf.DUMMYFUNCTION("""COMPUTED_VALUE"""),525)</f>
        <v>525</v>
      </c>
      <c r="B505" s="1" t="str">
        <f ca="1">IFERROR(__xludf.DUMMYFUNCTION("""COMPUTED_VALUE"""),"Mason Oxley")</f>
        <v>Mason Oxley</v>
      </c>
      <c r="C505" s="1" t="str">
        <f ca="1">IFERROR(__xludf.DUMMYFUNCTION("""COMPUTED_VALUE"""),"City of Sheffield")</f>
        <v>City of Sheffield</v>
      </c>
      <c r="D505" s="4">
        <f ca="1">IFERROR(__xludf.DUMMYFUNCTION("""COMPUTED_VALUE"""),2.24)</f>
        <v>2.2400000000000002</v>
      </c>
      <c r="E505" s="1"/>
      <c r="F505" s="1"/>
    </row>
    <row r="506" spans="1:6" x14ac:dyDescent="0.2">
      <c r="A506" s="1">
        <f ca="1">IFERROR(__xludf.DUMMYFUNCTION("""COMPUTED_VALUE"""),131)</f>
        <v>131</v>
      </c>
      <c r="B506" s="1" t="str">
        <f ca="1">IFERROR(__xludf.DUMMYFUNCTION("""COMPUTED_VALUE"""),"Finley Barker")</f>
        <v>Finley Barker</v>
      </c>
      <c r="C506" s="1" t="str">
        <f ca="1">IFERROR(__xludf.DUMMYFUNCTION("""COMPUTED_VALUE"""),"KUHAC")</f>
        <v>KUHAC</v>
      </c>
      <c r="D506" s="4">
        <f ca="1">IFERROR(__xludf.DUMMYFUNCTION("""COMPUTED_VALUE"""),5.18)</f>
        <v>5.18</v>
      </c>
      <c r="E506" s="1"/>
      <c r="F506" s="1"/>
    </row>
    <row r="507" spans="1:6" x14ac:dyDescent="0.2">
      <c r="A507" s="1">
        <f ca="1">IFERROR(__xludf.DUMMYFUNCTION("""COMPUTED_VALUE"""),324)</f>
        <v>324</v>
      </c>
      <c r="B507" s="1" t="str">
        <f ca="1">IFERROR(__xludf.DUMMYFUNCTION("""COMPUTED_VALUE"""),"Isaac Gurnell")</f>
        <v>Isaac Gurnell</v>
      </c>
      <c r="C507" s="1" t="str">
        <f ca="1">IFERROR(__xludf.DUMMYFUNCTION("""COMPUTED_VALUE"""),"LWAC")</f>
        <v>LWAC</v>
      </c>
      <c r="D507" s="4">
        <f ca="1">IFERROR(__xludf.DUMMYFUNCTION("""COMPUTED_VALUE"""),5.26)</f>
        <v>5.26</v>
      </c>
      <c r="E507" s="1"/>
      <c r="F507" s="1"/>
    </row>
    <row r="508" spans="1:6" x14ac:dyDescent="0.2">
      <c r="A508" s="1">
        <f ca="1">IFERROR(__xludf.DUMMYFUNCTION("""COMPUTED_VALUE"""),427)</f>
        <v>427</v>
      </c>
      <c r="B508" s="1" t="str">
        <f ca="1">IFERROR(__xludf.DUMMYFUNCTION("""COMPUTED_VALUE"""),"Samuel Russell")</f>
        <v>Samuel Russell</v>
      </c>
      <c r="C508" s="1" t="str">
        <f ca="1">IFERROR(__xludf.DUMMYFUNCTION("""COMPUTED_VALUE"""),"Rushcliffe")</f>
        <v>Rushcliffe</v>
      </c>
      <c r="D508" s="4">
        <f ca="1">IFERROR(__xludf.DUMMYFUNCTION("""COMPUTED_VALUE"""),5.34)</f>
        <v>5.34</v>
      </c>
      <c r="E508" s="1"/>
      <c r="F508" s="1"/>
    </row>
    <row r="509" spans="1:6" x14ac:dyDescent="0.2">
      <c r="A509" s="3" t="str">
        <f ca="1">IFERROR(__xludf.DUMMYFUNCTION("""COMPUTED_VALUE"""),"U14 Boys Shot Put (4.0KG)")</f>
        <v>U14 Boys Shot Put (4.0KG)</v>
      </c>
      <c r="B509" s="3"/>
      <c r="C509" s="3"/>
      <c r="D509" s="3"/>
      <c r="E509" s="3"/>
      <c r="F509" s="1"/>
    </row>
    <row r="510" spans="1:6" x14ac:dyDescent="0.2">
      <c r="A510" s="1">
        <f ca="1">IFERROR(__xludf.DUMMYFUNCTION("""COMPUTED_VALUE"""),15)</f>
        <v>15</v>
      </c>
      <c r="B510" s="1" t="str">
        <f ca="1">IFERROR(__xludf.DUMMYFUNCTION("""COMPUTED_VALUE"""),"Luka Cato")</f>
        <v>Luka Cato</v>
      </c>
      <c r="C510" s="1" t="str">
        <f ca="1">IFERROR(__xludf.DUMMYFUNCTION("""COMPUTED_VALUE"""),"Burton")</f>
        <v>Burton</v>
      </c>
      <c r="D510" s="4">
        <f ca="1">IFERROR(__xludf.DUMMYFUNCTION("""COMPUTED_VALUE"""),9.5)</f>
        <v>9.5</v>
      </c>
      <c r="E510" s="1"/>
      <c r="F510" s="1"/>
    </row>
    <row r="511" spans="1:6" x14ac:dyDescent="0.2">
      <c r="A511" s="1">
        <f ca="1">IFERROR(__xludf.DUMMYFUNCTION("""COMPUTED_VALUE"""),118)</f>
        <v>118</v>
      </c>
      <c r="B511" s="1" t="str">
        <f ca="1">IFERROR(__xludf.DUMMYFUNCTION("""COMPUTED_VALUE"""),"Ethan Swann")</f>
        <v>Ethan Swann</v>
      </c>
      <c r="C511" s="1" t="str">
        <f ca="1">IFERROR(__xludf.DUMMYFUNCTION("""COMPUTED_VALUE"""),"Cleethorpes")</f>
        <v>Cleethorpes</v>
      </c>
      <c r="D511" s="4">
        <f ca="1">IFERROR(__xludf.DUMMYFUNCTION("""COMPUTED_VALUE"""),11.93)</f>
        <v>11.93</v>
      </c>
      <c r="E511" s="1"/>
      <c r="F511" s="1"/>
    </row>
    <row r="512" spans="1:6" x14ac:dyDescent="0.2">
      <c r="A512" s="1">
        <f ca="1">IFERROR(__xludf.DUMMYFUNCTION("""COMPUTED_VALUE"""),317)</f>
        <v>317</v>
      </c>
      <c r="B512" s="1" t="str">
        <f ca="1">IFERROR(__xludf.DUMMYFUNCTION("""COMPUTED_VALUE"""),"Maxx Chapman")</f>
        <v>Maxx Chapman</v>
      </c>
      <c r="C512" s="1" t="str">
        <f ca="1">IFERROR(__xludf.DUMMYFUNCTION("""COMPUTED_VALUE"""),"LWAC")</f>
        <v>LWAC</v>
      </c>
      <c r="D512" s="4">
        <f ca="1">IFERROR(__xludf.DUMMYFUNCTION("""COMPUTED_VALUE"""),7.49)</f>
        <v>7.49</v>
      </c>
      <c r="E512" s="1"/>
      <c r="F512" s="1"/>
    </row>
    <row r="513" spans="1:6" x14ac:dyDescent="0.2">
      <c r="A513" s="1">
        <f ca="1">IFERROR(__xludf.DUMMYFUNCTION("""COMPUTED_VALUE"""),413)</f>
        <v>413</v>
      </c>
      <c r="B513" s="1" t="str">
        <f ca="1">IFERROR(__xludf.DUMMYFUNCTION("""COMPUTED_VALUE"""),"Isaac Beresford")</f>
        <v>Isaac Beresford</v>
      </c>
      <c r="C513" s="1" t="str">
        <f ca="1">IFERROR(__xludf.DUMMYFUNCTION("""COMPUTED_VALUE"""),"Worksop")</f>
        <v>Worksop</v>
      </c>
      <c r="D513" s="4">
        <f ca="1">IFERROR(__xludf.DUMMYFUNCTION("""COMPUTED_VALUE"""),9.9)</f>
        <v>9.9</v>
      </c>
      <c r="E513" s="1"/>
      <c r="F513" s="1"/>
    </row>
    <row r="514" spans="1:6" x14ac:dyDescent="0.2">
      <c r="A514" s="1">
        <f ca="1">IFERROR(__xludf.DUMMYFUNCTION("""COMPUTED_VALUE"""),513)</f>
        <v>513</v>
      </c>
      <c r="B514" s="1" t="str">
        <f ca="1">IFERROR(__xludf.DUMMYFUNCTION("""COMPUTED_VALUE"""),"Thomas Anderson")</f>
        <v>Thomas Anderson</v>
      </c>
      <c r="C514" s="1" t="str">
        <f ca="1">IFERROR(__xludf.DUMMYFUNCTION("""COMPUTED_VALUE"""),"City of Sheffield")</f>
        <v>City of Sheffield</v>
      </c>
      <c r="D514" s="4">
        <f ca="1">IFERROR(__xludf.DUMMYFUNCTION("""COMPUTED_VALUE"""),11.94)</f>
        <v>11.94</v>
      </c>
      <c r="E514" s="1"/>
      <c r="F514" s="1"/>
    </row>
    <row r="515" spans="1:6" x14ac:dyDescent="0.2">
      <c r="A515" s="1">
        <f ca="1">IFERROR(__xludf.DUMMYFUNCTION("""COMPUTED_VALUE"""),16)</f>
        <v>16</v>
      </c>
      <c r="B515" s="1" t="str">
        <f ca="1">IFERROR(__xludf.DUMMYFUNCTION("""COMPUTED_VALUE"""),"Lucas Melen")</f>
        <v>Lucas Melen</v>
      </c>
      <c r="C515" s="1" t="str">
        <f ca="1">IFERROR(__xludf.DUMMYFUNCTION("""COMPUTED_VALUE"""),"Chesterfield")</f>
        <v>Chesterfield</v>
      </c>
      <c r="D515" s="4">
        <f ca="1">IFERROR(__xludf.DUMMYFUNCTION("""COMPUTED_VALUE"""),7.49)</f>
        <v>7.49</v>
      </c>
      <c r="E515" s="1"/>
      <c r="F515" s="1"/>
    </row>
    <row r="516" spans="1:6" x14ac:dyDescent="0.2">
      <c r="A516" s="1">
        <f ca="1">IFERROR(__xludf.DUMMYFUNCTION("""COMPUTED_VALUE"""),119)</f>
        <v>119</v>
      </c>
      <c r="B516" s="1" t="str">
        <f ca="1">IFERROR(__xludf.DUMMYFUNCTION("""COMPUTED_VALUE"""),"Oscar Davey")</f>
        <v>Oscar Davey</v>
      </c>
      <c r="C516" s="1" t="str">
        <f ca="1">IFERROR(__xludf.DUMMYFUNCTION("""COMPUTED_VALUE"""),"Grimsby")</f>
        <v>Grimsby</v>
      </c>
      <c r="D516" s="4">
        <f ca="1">IFERROR(__xludf.DUMMYFUNCTION("""COMPUTED_VALUE"""),11.94)</f>
        <v>11.94</v>
      </c>
      <c r="E516" s="1"/>
      <c r="F516" s="1"/>
    </row>
    <row r="517" spans="1:6" x14ac:dyDescent="0.2">
      <c r="A517" s="1">
        <f ca="1">IFERROR(__xludf.DUMMYFUNCTION("""COMPUTED_VALUE"""),312)</f>
        <v>312</v>
      </c>
      <c r="B517" s="1" t="str">
        <f ca="1">IFERROR(__xludf.DUMMYFUNCTION("""COMPUTED_VALUE"""),"Jacob Robinson")</f>
        <v>Jacob Robinson</v>
      </c>
      <c r="C517" s="1" t="str">
        <f ca="1">IFERROR(__xludf.DUMMYFUNCTION("""COMPUTED_VALUE"""),"LWAC")</f>
        <v>LWAC</v>
      </c>
      <c r="D517" s="4">
        <f ca="1">IFERROR(__xludf.DUMMYFUNCTION("""COMPUTED_VALUE"""),6.6)</f>
        <v>6.6</v>
      </c>
      <c r="E517" s="1"/>
      <c r="F517" s="1"/>
    </row>
    <row r="518" spans="1:6" x14ac:dyDescent="0.2">
      <c r="A518" s="1">
        <f ca="1">IFERROR(__xludf.DUMMYFUNCTION("""COMPUTED_VALUE"""),415)</f>
        <v>415</v>
      </c>
      <c r="B518" s="1" t="str">
        <f ca="1">IFERROR(__xludf.DUMMYFUNCTION("""COMPUTED_VALUE"""),"Zachary Adan")</f>
        <v>Zachary Adan</v>
      </c>
      <c r="C518" s="1" t="str">
        <f ca="1">IFERROR(__xludf.DUMMYFUNCTION("""COMPUTED_VALUE"""),"Retford")</f>
        <v>Retford</v>
      </c>
      <c r="D518" s="4">
        <f ca="1">IFERROR(__xludf.DUMMYFUNCTION("""COMPUTED_VALUE"""),9.55)</f>
        <v>9.5500000000000007</v>
      </c>
      <c r="E518" s="1"/>
      <c r="F518" s="1"/>
    </row>
    <row r="519" spans="1:6" x14ac:dyDescent="0.2">
      <c r="A519" s="1">
        <f ca="1">IFERROR(__xludf.DUMMYFUNCTION("""COMPUTED_VALUE"""),516)</f>
        <v>516</v>
      </c>
      <c r="B519" s="1" t="str">
        <f ca="1">IFERROR(__xludf.DUMMYFUNCTION("""COMPUTED_VALUE"""),"Harry Tomlinson")</f>
        <v>Harry Tomlinson</v>
      </c>
      <c r="C519" s="1" t="str">
        <f ca="1">IFERROR(__xludf.DUMMYFUNCTION("""COMPUTED_VALUE"""),"Doncaster")</f>
        <v>Doncaster</v>
      </c>
      <c r="D519" s="4">
        <f ca="1">IFERROR(__xludf.DUMMYFUNCTION("""COMPUTED_VALUE"""),7.86)</f>
        <v>7.86</v>
      </c>
      <c r="E519" s="1"/>
      <c r="F519" s="1"/>
    </row>
    <row r="520" spans="1:6" x14ac:dyDescent="0.2">
      <c r="A520" s="3" t="str">
        <f ca="1">IFERROR(__xludf.DUMMYFUNCTION("""COMPUTED_VALUE"""),"U16 Girls High Jump")</f>
        <v>U16 Girls High Jump</v>
      </c>
      <c r="B520" s="3"/>
      <c r="C520" s="3"/>
      <c r="D520" s="3"/>
      <c r="E520" s="7" t="s">
        <v>4</v>
      </c>
      <c r="F520" s="1"/>
    </row>
    <row r="521" spans="1:6" x14ac:dyDescent="0.2">
      <c r="A521" s="1">
        <f ca="1">IFERROR(__xludf.DUMMYFUNCTION("""COMPUTED_VALUE"""),163)</f>
        <v>163</v>
      </c>
      <c r="B521" s="1" t="str">
        <f ca="1">IFERROR(__xludf.DUMMYFUNCTION("""COMPUTED_VALUE"""),"Eliza Kenyon")</f>
        <v>Eliza Kenyon</v>
      </c>
      <c r="C521" s="1" t="str">
        <f ca="1">IFERROR(__xludf.DUMMYFUNCTION("""COMPUTED_VALUE"""),"Scunthorpe")</f>
        <v>Scunthorpe</v>
      </c>
      <c r="D521" s="4">
        <f ca="1">IFERROR(__xludf.DUMMYFUNCTION("""COMPUTED_VALUE"""),1.4)</f>
        <v>1.4</v>
      </c>
      <c r="E521" s="1">
        <v>4</v>
      </c>
      <c r="F521" s="1"/>
    </row>
    <row r="522" spans="1:6" x14ac:dyDescent="0.2">
      <c r="A522" s="1">
        <f ca="1">IFERROR(__xludf.DUMMYFUNCTION("""COMPUTED_VALUE"""),344)</f>
        <v>344</v>
      </c>
      <c r="B522" s="1" t="str">
        <f ca="1">IFERROR(__xludf.DUMMYFUNCTION("""COMPUTED_VALUE"""),"Scarlett Edlin")</f>
        <v>Scarlett Edlin</v>
      </c>
      <c r="C522" s="1" t="str">
        <f ca="1">IFERROR(__xludf.DUMMYFUNCTION("""COMPUTED_VALUE"""),"LWAC")</f>
        <v>LWAC</v>
      </c>
      <c r="D522" s="4">
        <f ca="1">IFERROR(__xludf.DUMMYFUNCTION("""COMPUTED_VALUE"""),1.45)</f>
        <v>1.45</v>
      </c>
      <c r="E522" s="1">
        <v>3</v>
      </c>
      <c r="F522" s="1"/>
    </row>
    <row r="523" spans="1:6" x14ac:dyDescent="0.2">
      <c r="A523" s="1">
        <f ca="1">IFERROR(__xludf.DUMMYFUNCTION("""COMPUTED_VALUE"""),455)</f>
        <v>455</v>
      </c>
      <c r="B523" s="1" t="str">
        <f ca="1">IFERROR(__xludf.DUMMYFUNCTION("""COMPUTED_VALUE"""),"Summer Johnson")</f>
        <v>Summer Johnson</v>
      </c>
      <c r="C523" s="1" t="str">
        <f ca="1">IFERROR(__xludf.DUMMYFUNCTION("""COMPUTED_VALUE"""),"Worksop")</f>
        <v>Worksop</v>
      </c>
      <c r="D523" s="4">
        <f ca="1">IFERROR(__xludf.DUMMYFUNCTION("""COMPUTED_VALUE"""),1.45)</f>
        <v>1.45</v>
      </c>
      <c r="E523" s="1">
        <v>2</v>
      </c>
      <c r="F523" s="1"/>
    </row>
    <row r="524" spans="1:6" x14ac:dyDescent="0.2">
      <c r="A524" s="1">
        <f ca="1">IFERROR(__xludf.DUMMYFUNCTION("""COMPUTED_VALUE"""),551)</f>
        <v>551</v>
      </c>
      <c r="B524" s="1" t="str">
        <f ca="1">IFERROR(__xludf.DUMMYFUNCTION("""COMPUTED_VALUE"""),"Anna Budd")</f>
        <v>Anna Budd</v>
      </c>
      <c r="C524" s="1" t="str">
        <f ca="1">IFERROR(__xludf.DUMMYFUNCTION("""COMPUTED_VALUE"""),"Hallamshire")</f>
        <v>Hallamshire</v>
      </c>
      <c r="D524" s="4">
        <f ca="1">IFERROR(__xludf.DUMMYFUNCTION("""COMPUTED_VALUE"""),1.5)</f>
        <v>1.5</v>
      </c>
      <c r="E524" s="1">
        <v>1</v>
      </c>
      <c r="F524" s="1"/>
    </row>
    <row r="525" spans="1:6" x14ac:dyDescent="0.2">
      <c r="A525" s="1">
        <f ca="1">IFERROR(__xludf.DUMMYFUNCTION("""COMPUTED_VALUE"""),54)</f>
        <v>54</v>
      </c>
      <c r="B525" s="1" t="str">
        <f ca="1">IFERROR(__xludf.DUMMYFUNCTION("""COMPUTED_VALUE"""),"Bibi Mulholland")</f>
        <v>Bibi Mulholland</v>
      </c>
      <c r="C525" s="1" t="str">
        <f ca="1">IFERROR(__xludf.DUMMYFUNCTION("""COMPUTED_VALUE"""),"AVEAC")</f>
        <v>AVEAC</v>
      </c>
      <c r="D525" s="4">
        <f ca="1">IFERROR(__xludf.DUMMYFUNCTION("""COMPUTED_VALUE"""),1.4)</f>
        <v>1.4</v>
      </c>
      <c r="E525" s="1">
        <v>4</v>
      </c>
      <c r="F525" s="1"/>
    </row>
    <row r="526" spans="1:6" x14ac:dyDescent="0.2">
      <c r="A526" s="1">
        <f ca="1">IFERROR(__xludf.DUMMYFUNCTION("""COMPUTED_VALUE"""),164)</f>
        <v>164</v>
      </c>
      <c r="B526" s="1" t="str">
        <f ca="1">IFERROR(__xludf.DUMMYFUNCTION("""COMPUTED_VALUE"""),"Cassidy Crowe")</f>
        <v>Cassidy Crowe</v>
      </c>
      <c r="C526" s="1" t="str">
        <f ca="1">IFERROR(__xludf.DUMMYFUNCTION("""COMPUTED_VALUE"""),"KUHAC")</f>
        <v>KUHAC</v>
      </c>
      <c r="D526" s="4">
        <f ca="1">IFERROR(__xludf.DUMMYFUNCTION("""COMPUTED_VALUE"""),1.35)</f>
        <v>1.35</v>
      </c>
      <c r="E526" s="1">
        <v>7</v>
      </c>
      <c r="F526" s="1"/>
    </row>
    <row r="527" spans="1:6" x14ac:dyDescent="0.2">
      <c r="A527" s="1">
        <f ca="1">IFERROR(__xludf.DUMMYFUNCTION("""COMPUTED_VALUE"""),349)</f>
        <v>349</v>
      </c>
      <c r="B527" s="1" t="str">
        <f ca="1">IFERROR(__xludf.DUMMYFUNCTION("""COMPUTED_VALUE"""),"Olivia Lindsay")</f>
        <v>Olivia Lindsay</v>
      </c>
      <c r="C527" s="1" t="str">
        <f ca="1">IFERROR(__xludf.DUMMYFUNCTION("""COMPUTED_VALUE"""),"LWAC")</f>
        <v>LWAC</v>
      </c>
      <c r="D527" s="4">
        <f ca="1">IFERROR(__xludf.DUMMYFUNCTION("""COMPUTED_VALUE"""),1.35)</f>
        <v>1.35</v>
      </c>
      <c r="E527" s="1">
        <v>8</v>
      </c>
      <c r="F527" s="1"/>
    </row>
    <row r="528" spans="1:6" x14ac:dyDescent="0.2">
      <c r="A528" s="1">
        <f ca="1">IFERROR(__xludf.DUMMYFUNCTION("""COMPUTED_VALUE"""),458)</f>
        <v>458</v>
      </c>
      <c r="B528" s="1" t="str">
        <f ca="1">IFERROR(__xludf.DUMMYFUNCTION("""COMPUTED_VALUE"""),"Darcey Croshaw")</f>
        <v>Darcey Croshaw</v>
      </c>
      <c r="C528" s="1" t="str">
        <f ca="1">IFERROR(__xludf.DUMMYFUNCTION("""COMPUTED_VALUE"""),"Worksop")</f>
        <v>Worksop</v>
      </c>
      <c r="D528" s="4">
        <f ca="1">IFERROR(__xludf.DUMMYFUNCTION("""COMPUTED_VALUE"""),1.35)</f>
        <v>1.35</v>
      </c>
      <c r="E528" s="1">
        <v>9</v>
      </c>
      <c r="F528" s="1"/>
    </row>
    <row r="529" spans="1:6" x14ac:dyDescent="0.2">
      <c r="A529" s="1">
        <f ca="1">IFERROR(__xludf.DUMMYFUNCTION("""COMPUTED_VALUE"""),548)</f>
        <v>548</v>
      </c>
      <c r="B529" s="1" t="str">
        <f ca="1">IFERROR(__xludf.DUMMYFUNCTION("""COMPUTED_VALUE"""),"Neve Connelly")</f>
        <v>Neve Connelly</v>
      </c>
      <c r="C529" s="1" t="str">
        <f ca="1">IFERROR(__xludf.DUMMYFUNCTION("""COMPUTED_VALUE"""),"City of Sheffield")</f>
        <v>City of Sheffield</v>
      </c>
      <c r="D529" s="6" t="s">
        <v>0</v>
      </c>
      <c r="E529" s="1"/>
      <c r="F529" s="1"/>
    </row>
    <row r="530" spans="1:6" x14ac:dyDescent="0.2">
      <c r="A530" s="1">
        <f ca="1">IFERROR(__xludf.DUMMYFUNCTION("""COMPUTED_VALUE"""),55)</f>
        <v>55</v>
      </c>
      <c r="B530" s="1" t="str">
        <f ca="1">IFERROR(__xludf.DUMMYFUNCTION("""COMPUTED_VALUE"""),"Beth Galletly")</f>
        <v>Beth Galletly</v>
      </c>
      <c r="C530" s="1" t="str">
        <f ca="1">IFERROR(__xludf.DUMMYFUNCTION("""COMPUTED_VALUE"""),"Chesterfield")</f>
        <v>Chesterfield</v>
      </c>
      <c r="D530" s="4">
        <v>1.4</v>
      </c>
      <c r="E530" s="1">
        <v>4</v>
      </c>
      <c r="F530" s="1"/>
    </row>
    <row r="531" spans="1:6" x14ac:dyDescent="0.2">
      <c r="A531" s="3" t="str">
        <f ca="1">IFERROR(__xludf.DUMMYFUNCTION("""COMPUTED_VALUE"""),"U12 Boys Shot Put (2.72KG)")</f>
        <v>U12 Boys Shot Put (2.72KG)</v>
      </c>
      <c r="B531" s="3"/>
      <c r="C531" s="3"/>
      <c r="D531" s="3"/>
      <c r="E531" s="3"/>
      <c r="F531" s="1"/>
    </row>
    <row r="532" spans="1:6" x14ac:dyDescent="0.2">
      <c r="A532" s="1">
        <f ca="1">IFERROR(__xludf.DUMMYFUNCTION("""COMPUTED_VALUE"""),108)</f>
        <v>108</v>
      </c>
      <c r="B532" s="1" t="str">
        <f ca="1">IFERROR(__xludf.DUMMYFUNCTION("""COMPUTED_VALUE"""),"Fraser Wilson")</f>
        <v>Fraser Wilson</v>
      </c>
      <c r="C532" s="1" t="str">
        <f ca="1">IFERROR(__xludf.DUMMYFUNCTION("""COMPUTED_VALUE"""),"Barton")</f>
        <v>Barton</v>
      </c>
      <c r="D532" s="4">
        <f ca="1">IFERROR(__xludf.DUMMYFUNCTION("""COMPUTED_VALUE"""),6.64)</f>
        <v>6.64</v>
      </c>
      <c r="E532" s="1"/>
      <c r="F532" s="1"/>
    </row>
    <row r="533" spans="1:6" x14ac:dyDescent="0.2">
      <c r="A533" s="1">
        <f ca="1">IFERROR(__xludf.DUMMYFUNCTION("""COMPUTED_VALUE"""),307)</f>
        <v>307</v>
      </c>
      <c r="B533" s="1" t="str">
        <f ca="1">IFERROR(__xludf.DUMMYFUNCTION("""COMPUTED_VALUE"""),"Oscar Drinkwater")</f>
        <v>Oscar Drinkwater</v>
      </c>
      <c r="C533" s="1" t="str">
        <f ca="1">IFERROR(__xludf.DUMMYFUNCTION("""COMPUTED_VALUE"""),"Grantham AC")</f>
        <v>Grantham AC</v>
      </c>
      <c r="D533" s="4">
        <f ca="1">IFERROR(__xludf.DUMMYFUNCTION("""COMPUTED_VALUE"""),4.47)</f>
        <v>4.47</v>
      </c>
      <c r="E533" s="1"/>
      <c r="F533" s="1"/>
    </row>
    <row r="534" spans="1:6" x14ac:dyDescent="0.2">
      <c r="A534" s="1">
        <f ca="1">IFERROR(__xludf.DUMMYFUNCTION("""COMPUTED_VALUE"""),406)</f>
        <v>406</v>
      </c>
      <c r="B534" s="1" t="str">
        <f ca="1">IFERROR(__xludf.DUMMYFUNCTION("""COMPUTED_VALUE"""),"Jake Perry")</f>
        <v>Jake Perry</v>
      </c>
      <c r="C534" s="1" t="str">
        <f ca="1">IFERROR(__xludf.DUMMYFUNCTION("""COMPUTED_VALUE"""),"Newark")</f>
        <v>Newark</v>
      </c>
      <c r="D534" s="4">
        <f ca="1">IFERROR(__xludf.DUMMYFUNCTION("""COMPUTED_VALUE"""),7.4)</f>
        <v>7.4</v>
      </c>
      <c r="E534" s="1"/>
      <c r="F534" s="1"/>
    </row>
    <row r="535" spans="1:6" x14ac:dyDescent="0.2">
      <c r="A535" s="1">
        <f ca="1">IFERROR(__xludf.DUMMYFUNCTION("""COMPUTED_VALUE"""),507)</f>
        <v>507</v>
      </c>
      <c r="B535" s="1" t="str">
        <f ca="1">IFERROR(__xludf.DUMMYFUNCTION("""COMPUTED_VALUE"""),"Douglas Scahill")</f>
        <v>Douglas Scahill</v>
      </c>
      <c r="C535" s="1" t="str">
        <f ca="1">IFERROR(__xludf.DUMMYFUNCTION("""COMPUTED_VALUE"""),"Hallamshire")</f>
        <v>Hallamshire</v>
      </c>
      <c r="D535" s="4">
        <f ca="1">IFERROR(__xludf.DUMMYFUNCTION("""COMPUTED_VALUE"""),7.73)</f>
        <v>7.73</v>
      </c>
      <c r="E535" s="1"/>
      <c r="F535" s="1"/>
    </row>
    <row r="536" spans="1:6" x14ac:dyDescent="0.2">
      <c r="A536" s="1">
        <f ca="1">IFERROR(__xludf.DUMMYFUNCTION("""COMPUTED_VALUE"""),3)</f>
        <v>3</v>
      </c>
      <c r="B536" s="1" t="str">
        <f ca="1">IFERROR(__xludf.DUMMYFUNCTION("""COMPUTED_VALUE"""),"Michael Amadi")</f>
        <v>Michael Amadi</v>
      </c>
      <c r="C536" s="1" t="str">
        <f ca="1">IFERROR(__xludf.DUMMYFUNCTION("""COMPUTED_VALUE"""),"Chesterfield")</f>
        <v>Chesterfield</v>
      </c>
      <c r="D536" s="4">
        <f ca="1">IFERROR(__xludf.DUMMYFUNCTION("""COMPUTED_VALUE"""),7.34)</f>
        <v>7.34</v>
      </c>
      <c r="E536" s="1"/>
      <c r="F536" s="1"/>
    </row>
    <row r="537" spans="1:6" x14ac:dyDescent="0.2">
      <c r="A537" s="1">
        <f ca="1">IFERROR(__xludf.DUMMYFUNCTION("""COMPUTED_VALUE"""),109)</f>
        <v>109</v>
      </c>
      <c r="B537" s="1" t="str">
        <f ca="1">IFERROR(__xludf.DUMMYFUNCTION("""COMPUTED_VALUE"""),"Emerson Innes")</f>
        <v>Emerson Innes</v>
      </c>
      <c r="C537" s="1" t="str">
        <f ca="1">IFERROR(__xludf.DUMMYFUNCTION("""COMPUTED_VALUE"""),"KUHAC")</f>
        <v>KUHAC</v>
      </c>
      <c r="D537" s="4">
        <f ca="1">IFERROR(__xludf.DUMMYFUNCTION("""COMPUTED_VALUE"""),5.54)</f>
        <v>5.54</v>
      </c>
      <c r="E537" s="1"/>
      <c r="F537" s="1"/>
    </row>
    <row r="538" spans="1:6" x14ac:dyDescent="0.2">
      <c r="A538" s="1">
        <f ca="1">IFERROR(__xludf.DUMMYFUNCTION("""COMPUTED_VALUE"""),308)</f>
        <v>308</v>
      </c>
      <c r="B538" s="1" t="str">
        <f ca="1">IFERROR(__xludf.DUMMYFUNCTION("""COMPUTED_VALUE"""),"Aidan McNally")</f>
        <v>Aidan McNally</v>
      </c>
      <c r="C538" s="1" t="str">
        <f ca="1">IFERROR(__xludf.DUMMYFUNCTION("""COMPUTED_VALUE"""),"PANVAC")</f>
        <v>PANVAC</v>
      </c>
      <c r="D538" s="4">
        <f ca="1">IFERROR(__xludf.DUMMYFUNCTION("""COMPUTED_VALUE"""),5.71)</f>
        <v>5.71</v>
      </c>
      <c r="E538" s="1"/>
      <c r="F538" s="1"/>
    </row>
    <row r="539" spans="1:6" x14ac:dyDescent="0.2">
      <c r="A539" s="1">
        <f ca="1">IFERROR(__xludf.DUMMYFUNCTION("""COMPUTED_VALUE"""),403)</f>
        <v>403</v>
      </c>
      <c r="B539" s="1" t="str">
        <f ca="1">IFERROR(__xludf.DUMMYFUNCTION("""COMPUTED_VALUE"""),"Dylan O'Brien")</f>
        <v>Dylan O'Brien</v>
      </c>
      <c r="C539" s="1" t="str">
        <f ca="1">IFERROR(__xludf.DUMMYFUNCTION("""COMPUTED_VALUE"""),"Newark")</f>
        <v>Newark</v>
      </c>
      <c r="D539" s="4">
        <f ca="1">IFERROR(__xludf.DUMMYFUNCTION("""COMPUTED_VALUE"""),6.99)</f>
        <v>6.99</v>
      </c>
      <c r="E539" s="1"/>
      <c r="F539" s="1"/>
    </row>
    <row r="540" spans="1:6" x14ac:dyDescent="0.2">
      <c r="A540" s="1">
        <f ca="1">IFERROR(__xludf.DUMMYFUNCTION("""COMPUTED_VALUE"""),505)</f>
        <v>505</v>
      </c>
      <c r="B540" s="1" t="str">
        <f ca="1">IFERROR(__xludf.DUMMYFUNCTION("""COMPUTED_VALUE"""),"Felix Bancroft")</f>
        <v>Felix Bancroft</v>
      </c>
      <c r="C540" s="1" t="str">
        <f ca="1">IFERROR(__xludf.DUMMYFUNCTION("""COMPUTED_VALUE"""),"Hallamshire")</f>
        <v>Hallamshire</v>
      </c>
      <c r="D540" s="4">
        <f ca="1">IFERROR(__xludf.DUMMYFUNCTION("""COMPUTED_VALUE"""),5.42)</f>
        <v>5.42</v>
      </c>
      <c r="E540" s="1"/>
      <c r="F540" s="1"/>
    </row>
    <row r="541" spans="1:6" x14ac:dyDescent="0.2">
      <c r="A541" s="1">
        <f ca="1">IFERROR(__xludf.DUMMYFUNCTION("""COMPUTED_VALUE"""),6)</f>
        <v>6</v>
      </c>
      <c r="B541" s="1" t="str">
        <f ca="1">IFERROR(__xludf.DUMMYFUNCTION("""COMPUTED_VALUE"""),"Daniel Straker")</f>
        <v>Daniel Straker</v>
      </c>
      <c r="C541" s="1" t="str">
        <f ca="1">IFERROR(__xludf.DUMMYFUNCTION("""COMPUTED_VALUE"""),"AVEAC")</f>
        <v>AVEAC</v>
      </c>
      <c r="D541" s="4">
        <f ca="1">IFERROR(__xludf.DUMMYFUNCTION("""COMPUTED_VALUE"""),7.82)</f>
        <v>7.82</v>
      </c>
      <c r="E541" s="1"/>
      <c r="F541" s="1"/>
    </row>
    <row r="542" spans="1:6" x14ac:dyDescent="0.2">
      <c r="A542" s="3" t="str">
        <f ca="1">IFERROR(__xludf.DUMMYFUNCTION("""COMPUTED_VALUE"""),"U14 Girls Long Jump")</f>
        <v>U14 Girls Long Jump</v>
      </c>
      <c r="B542" s="3"/>
      <c r="C542" s="3"/>
      <c r="D542" s="3"/>
      <c r="E542" s="3"/>
      <c r="F542" s="1"/>
    </row>
    <row r="543" spans="1:6" x14ac:dyDescent="0.2">
      <c r="A543" s="1">
        <f ca="1">IFERROR(__xludf.DUMMYFUNCTION("""COMPUTED_VALUE"""),339)</f>
        <v>339</v>
      </c>
      <c r="B543" s="1" t="str">
        <f ca="1">IFERROR(__xludf.DUMMYFUNCTION("""COMPUTED_VALUE"""),"Tallulah Flitter")</f>
        <v>Tallulah Flitter</v>
      </c>
      <c r="C543" s="1" t="str">
        <f ca="1">IFERROR(__xludf.DUMMYFUNCTION("""COMPUTED_VALUE"""),"Louth AC")</f>
        <v>Louth AC</v>
      </c>
      <c r="D543" s="4">
        <f ca="1">IFERROR(__xludf.DUMMYFUNCTION("""COMPUTED_VALUE"""),4.16)</f>
        <v>4.16</v>
      </c>
      <c r="E543" s="1"/>
      <c r="F543" s="1"/>
    </row>
    <row r="544" spans="1:6" x14ac:dyDescent="0.2">
      <c r="A544" s="1">
        <f ca="1">IFERROR(__xludf.DUMMYFUNCTION("""COMPUTED_VALUE"""),443)</f>
        <v>443</v>
      </c>
      <c r="B544" s="1" t="str">
        <f ca="1">IFERROR(__xludf.DUMMYFUNCTION("""COMPUTED_VALUE"""),"Scarlett Stoddart")</f>
        <v>Scarlett Stoddart</v>
      </c>
      <c r="C544" s="1" t="str">
        <f ca="1">IFERROR(__xludf.DUMMYFUNCTION("""COMPUTED_VALUE"""),"Newark")</f>
        <v>Newark</v>
      </c>
      <c r="D544" s="4">
        <f ca="1">IFERROR(__xludf.DUMMYFUNCTION("""COMPUTED_VALUE"""),4.9)</f>
        <v>4.9000000000000004</v>
      </c>
      <c r="E544" s="1"/>
      <c r="F544" s="1"/>
    </row>
    <row r="545" spans="1:6" x14ac:dyDescent="0.2">
      <c r="A545" s="1">
        <f ca="1">IFERROR(__xludf.DUMMYFUNCTION("""COMPUTED_VALUE"""),533)</f>
        <v>533</v>
      </c>
      <c r="B545" s="1" t="str">
        <f ca="1">IFERROR(__xludf.DUMMYFUNCTION("""COMPUTED_VALUE"""),"Cheryl Nwachukwu")</f>
        <v>Cheryl Nwachukwu</v>
      </c>
      <c r="C545" s="1" t="str">
        <f ca="1">IFERROR(__xludf.DUMMYFUNCTION("""COMPUTED_VALUE"""),"Doncaster")</f>
        <v>Doncaster</v>
      </c>
      <c r="D545" s="4">
        <f ca="1">IFERROR(__xludf.DUMMYFUNCTION("""COMPUTED_VALUE"""),4.72)</f>
        <v>4.72</v>
      </c>
      <c r="E545" s="1"/>
      <c r="F545" s="1"/>
    </row>
    <row r="546" spans="1:6" x14ac:dyDescent="0.2">
      <c r="A546" s="1">
        <f ca="1">IFERROR(__xludf.DUMMYFUNCTION("""COMPUTED_VALUE"""),42)</f>
        <v>42</v>
      </c>
      <c r="B546" s="1" t="str">
        <f ca="1">IFERROR(__xludf.DUMMYFUNCTION("""COMPUTED_VALUE"""),"Sophie Flint")</f>
        <v>Sophie Flint</v>
      </c>
      <c r="C546" s="1" t="str">
        <f ca="1">IFERROR(__xludf.DUMMYFUNCTION("""COMPUTED_VALUE"""),"Derby")</f>
        <v>Derby</v>
      </c>
      <c r="D546" s="4">
        <f ca="1">IFERROR(__xludf.DUMMYFUNCTION("""COMPUTED_VALUE"""),4.29)</f>
        <v>4.29</v>
      </c>
      <c r="E546" s="1"/>
      <c r="F546" s="1"/>
    </row>
    <row r="547" spans="1:6" x14ac:dyDescent="0.2">
      <c r="A547" s="1">
        <f ca="1">IFERROR(__xludf.DUMMYFUNCTION("""COMPUTED_VALUE"""),148)</f>
        <v>148</v>
      </c>
      <c r="B547" s="1" t="str">
        <f ca="1">IFERROR(__xludf.DUMMYFUNCTION("""COMPUTED_VALUE"""),"Ellie Mae Benwell")</f>
        <v>Ellie Mae Benwell</v>
      </c>
      <c r="C547" s="1" t="str">
        <f ca="1">IFERROR(__xludf.DUMMYFUNCTION("""COMPUTED_VALUE"""),"Cleethorpes")</f>
        <v>Cleethorpes</v>
      </c>
      <c r="D547" s="4">
        <f ca="1">IFERROR(__xludf.DUMMYFUNCTION("""COMPUTED_VALUE"""),4)</f>
        <v>4</v>
      </c>
      <c r="E547" s="1"/>
      <c r="F547" s="1"/>
    </row>
    <row r="548" spans="1:6" x14ac:dyDescent="0.2">
      <c r="A548" s="1">
        <f ca="1">IFERROR(__xludf.DUMMYFUNCTION("""COMPUTED_VALUE"""),338)</f>
        <v>338</v>
      </c>
      <c r="B548" s="1" t="str">
        <f ca="1">IFERROR(__xludf.DUMMYFUNCTION("""COMPUTED_VALUE"""),"Rose Pell")</f>
        <v>Rose Pell</v>
      </c>
      <c r="C548" s="1" t="str">
        <f ca="1">IFERROR(__xludf.DUMMYFUNCTION("""COMPUTED_VALUE"""),"B&amp;DAC")</f>
        <v>B&amp;DAC</v>
      </c>
      <c r="D548" s="4">
        <f ca="1">IFERROR(__xludf.DUMMYFUNCTION("""COMPUTED_VALUE"""),4.27)</f>
        <v>4.2699999999999996</v>
      </c>
      <c r="E548" s="1"/>
      <c r="F548" s="1"/>
    </row>
    <row r="549" spans="1:6" x14ac:dyDescent="0.2">
      <c r="A549" s="1">
        <f ca="1">IFERROR(__xludf.DUMMYFUNCTION("""COMPUTED_VALUE"""),446)</f>
        <v>446</v>
      </c>
      <c r="B549" s="1" t="str">
        <f ca="1">IFERROR(__xludf.DUMMYFUNCTION("""COMPUTED_VALUE"""),"Eliza De Villiers")</f>
        <v>Eliza De Villiers</v>
      </c>
      <c r="C549" s="1" t="str">
        <f ca="1">IFERROR(__xludf.DUMMYFUNCTION("""COMPUTED_VALUE"""),"Worksop")</f>
        <v>Worksop</v>
      </c>
      <c r="D549" s="4">
        <f ca="1">IFERROR(__xludf.DUMMYFUNCTION("""COMPUTED_VALUE"""),4.32)</f>
        <v>4.32</v>
      </c>
      <c r="E549" s="1"/>
      <c r="F549" s="1"/>
    </row>
    <row r="550" spans="1:6" x14ac:dyDescent="0.2">
      <c r="A550" s="1">
        <f ca="1">IFERROR(__xludf.DUMMYFUNCTION("""COMPUTED_VALUE"""),538)</f>
        <v>538</v>
      </c>
      <c r="B550" s="1" t="str">
        <f ca="1">IFERROR(__xludf.DUMMYFUNCTION("""COMPUTED_VALUE"""),"Essie McGarrigle")</f>
        <v>Essie McGarrigle</v>
      </c>
      <c r="C550" s="1" t="str">
        <f ca="1">IFERROR(__xludf.DUMMYFUNCTION("""COMPUTED_VALUE"""),"Hallamshire")</f>
        <v>Hallamshire</v>
      </c>
      <c r="D550" s="4">
        <f ca="1">IFERROR(__xludf.DUMMYFUNCTION("""COMPUTED_VALUE"""),5.03)</f>
        <v>5.03</v>
      </c>
      <c r="E550" s="1"/>
      <c r="F550" s="1"/>
    </row>
    <row r="551" spans="1:6" x14ac:dyDescent="0.2">
      <c r="A551" s="1">
        <f ca="1">IFERROR(__xludf.DUMMYFUNCTION("""COMPUTED_VALUE"""),43)</f>
        <v>43</v>
      </c>
      <c r="B551" s="1" t="str">
        <f ca="1">IFERROR(__xludf.DUMMYFUNCTION("""COMPUTED_VALUE"""),"Ruby Thomson")</f>
        <v>Ruby Thomson</v>
      </c>
      <c r="C551" s="1" t="str">
        <f ca="1">IFERROR(__xludf.DUMMYFUNCTION("""COMPUTED_VALUE"""),"Chesterfield")</f>
        <v>Chesterfield</v>
      </c>
      <c r="D551" s="6" t="s">
        <v>3</v>
      </c>
      <c r="E551" s="1"/>
      <c r="F551" s="1"/>
    </row>
    <row r="552" spans="1:6" x14ac:dyDescent="0.2">
      <c r="A552" s="1">
        <f ca="1">IFERROR(__xludf.DUMMYFUNCTION("""COMPUTED_VALUE"""),149)</f>
        <v>149</v>
      </c>
      <c r="B552" s="1" t="str">
        <f ca="1">IFERROR(__xludf.DUMMYFUNCTION("""COMPUTED_VALUE"""),"Carys Yeomans")</f>
        <v>Carys Yeomans</v>
      </c>
      <c r="C552" s="1" t="str">
        <f ca="1">IFERROR(__xludf.DUMMYFUNCTION("""COMPUTED_VALUE"""),"Cleethorpes")</f>
        <v>Cleethorpes</v>
      </c>
      <c r="D552" s="4">
        <f ca="1">IFERROR(__xludf.DUMMYFUNCTION("""COMPUTED_VALUE"""),4.29)</f>
        <v>4.29</v>
      </c>
      <c r="E552" s="1"/>
      <c r="F552" s="1"/>
    </row>
    <row r="553" spans="1:6" x14ac:dyDescent="0.2">
      <c r="A553" s="1"/>
      <c r="B553" s="1"/>
      <c r="C553" s="1"/>
      <c r="D553" s="1"/>
      <c r="E553" s="1"/>
      <c r="F55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Davidson</dc:creator>
  <cp:lastModifiedBy>Paul Davidson</cp:lastModifiedBy>
  <dcterms:created xsi:type="dcterms:W3CDTF">2026-09-15T21:36:12Z</dcterms:created>
  <dcterms:modified xsi:type="dcterms:W3CDTF">2026-09-15T21:36:12Z</dcterms:modified>
</cp:coreProperties>
</file>